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icardo Xavier\Downloads\"/>
    </mc:Choice>
  </mc:AlternateContent>
  <xr:revisionPtr revIDLastSave="0" documentId="13_ncr:20001_{90B06BA0-F56A-454C-B87C-5C49D0081DE5}" xr6:coauthVersionLast="47" xr6:coauthVersionMax="47" xr10:uidLastSave="{00000000-0000-0000-0000-000000000000}"/>
  <bookViews>
    <workbookView xWindow="-108" yWindow="-108" windowWidth="23256" windowHeight="12456" xr2:uid="{1E1B0171-AA2E-48FC-A267-DD864E5D558D}"/>
  </bookViews>
  <sheets>
    <sheet name="Etanol de Cana de Açúcar" sheetId="1" r:id="rId1"/>
  </sheets>
  <definedNames>
    <definedName name="solver_adj" localSheetId="0" hidden="1">'Etanol de Cana de Açúcar'!$F$1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'Etanol de Cana de Açúcar'!$Q$10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1000000</definedName>
    <definedName name="solver_ver" localSheetId="0" hidden="1">3</definedName>
  </definedNames>
  <calcPr calcId="191029" forceFullCalc="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" i="1" l="1"/>
  <c r="AA7" i="1"/>
  <c r="V80" i="1" s="1"/>
  <c r="AE31" i="1"/>
  <c r="AF31" i="1"/>
  <c r="AG31" i="1"/>
  <c r="AE32" i="1"/>
  <c r="AF32" i="1"/>
  <c r="AG32" i="1"/>
  <c r="AE33" i="1"/>
  <c r="AF33" i="1"/>
  <c r="AG33" i="1"/>
  <c r="AE34" i="1"/>
  <c r="AF34" i="1"/>
  <c r="AG34" i="1"/>
  <c r="AE35" i="1"/>
  <c r="AF35" i="1"/>
  <c r="AG35" i="1"/>
  <c r="AE36" i="1"/>
  <c r="AF36" i="1"/>
  <c r="AG36" i="1"/>
  <c r="AE37" i="1"/>
  <c r="AF37" i="1"/>
  <c r="AG37" i="1"/>
  <c r="AE38" i="1"/>
  <c r="AF38" i="1"/>
  <c r="AG38" i="1"/>
  <c r="AE39" i="1"/>
  <c r="AF39" i="1"/>
  <c r="AG39" i="1"/>
  <c r="AE40" i="1"/>
  <c r="AF40" i="1"/>
  <c r="AG40" i="1"/>
  <c r="AE41" i="1"/>
  <c r="AF41" i="1"/>
  <c r="AG41" i="1"/>
  <c r="AE42" i="1"/>
  <c r="AF42" i="1"/>
  <c r="AG42" i="1"/>
  <c r="AE43" i="1"/>
  <c r="AF43" i="1"/>
  <c r="AG43" i="1"/>
  <c r="AE44" i="1"/>
  <c r="AF44" i="1"/>
  <c r="AG44" i="1"/>
  <c r="AE45" i="1"/>
  <c r="AF45" i="1"/>
  <c r="AG45" i="1"/>
  <c r="AE46" i="1"/>
  <c r="AF46" i="1"/>
  <c r="AG46" i="1"/>
  <c r="AE47" i="1"/>
  <c r="AF47" i="1"/>
  <c r="AG47" i="1"/>
  <c r="AE48" i="1"/>
  <c r="AF48" i="1"/>
  <c r="AG48" i="1"/>
  <c r="AE49" i="1"/>
  <c r="AF49" i="1"/>
  <c r="AG49" i="1"/>
  <c r="AF50" i="1"/>
  <c r="F28" i="1"/>
  <c r="F31" i="1"/>
  <c r="F30" i="1"/>
  <c r="F27" i="1"/>
  <c r="J18" i="1"/>
  <c r="H18" i="1"/>
  <c r="O9" i="1"/>
  <c r="Q9" i="1" s="1"/>
  <c r="E7" i="1"/>
  <c r="E6" i="1"/>
  <c r="O4" i="1"/>
  <c r="S4" i="1" s="1"/>
  <c r="I2" i="1"/>
  <c r="F2" i="1"/>
  <c r="H2" i="1" s="1"/>
  <c r="AF30" i="1" l="1"/>
  <c r="AA11" i="1"/>
  <c r="Y44" i="1" s="1"/>
  <c r="AC44" i="1" s="1"/>
  <c r="Y31" i="1"/>
  <c r="AC31" i="1" s="1"/>
  <c r="AD46" i="1"/>
  <c r="AL31" i="1"/>
  <c r="M18" i="1"/>
  <c r="AA56" i="1" s="1"/>
  <c r="H7" i="1"/>
  <c r="K7" i="1" s="1"/>
  <c r="K10" i="1" s="1"/>
  <c r="J13" i="1"/>
  <c r="E13" i="1"/>
  <c r="J14" i="1"/>
  <c r="F33" i="1"/>
  <c r="J20" i="1"/>
  <c r="Y43" i="1" l="1"/>
  <c r="AC43" i="1" s="1"/>
  <c r="Y48" i="1"/>
  <c r="AC48" i="1" s="1"/>
  <c r="AD47" i="1"/>
  <c r="Y50" i="1"/>
  <c r="AC50" i="1" s="1"/>
  <c r="AD34" i="1"/>
  <c r="Y46" i="1"/>
  <c r="AC46" i="1" s="1"/>
  <c r="Y35" i="1"/>
  <c r="AC35" i="1" s="1"/>
  <c r="Y38" i="1"/>
  <c r="AC38" i="1" s="1"/>
  <c r="AD42" i="1"/>
  <c r="AD39" i="1"/>
  <c r="Y47" i="1"/>
  <c r="AC47" i="1" s="1"/>
  <c r="Y45" i="1"/>
  <c r="AC45" i="1" s="1"/>
  <c r="Y40" i="1"/>
  <c r="AC40" i="1" s="1"/>
  <c r="AD35" i="1"/>
  <c r="Y37" i="1"/>
  <c r="AC37" i="1" s="1"/>
  <c r="AD40" i="1"/>
  <c r="AD32" i="1"/>
  <c r="Y34" i="1"/>
  <c r="AC34" i="1" s="1"/>
  <c r="AD48" i="1"/>
  <c r="Y32" i="1"/>
  <c r="AC32" i="1" s="1"/>
  <c r="AD49" i="1"/>
  <c r="Y39" i="1"/>
  <c r="AC39" i="1" s="1"/>
  <c r="AD43" i="1"/>
  <c r="AD45" i="1"/>
  <c r="Y49" i="1"/>
  <c r="AC49" i="1" s="1"/>
  <c r="AD31" i="1"/>
  <c r="AM31" i="1" s="1"/>
  <c r="AL32" i="1" s="1"/>
  <c r="AD33" i="1"/>
  <c r="AD36" i="1"/>
  <c r="Y42" i="1"/>
  <c r="AC42" i="1" s="1"/>
  <c r="Y36" i="1"/>
  <c r="AC36" i="1" s="1"/>
  <c r="AD50" i="1"/>
  <c r="AD37" i="1"/>
  <c r="Y41" i="1"/>
  <c r="AC41" i="1" s="1"/>
  <c r="AD44" i="1"/>
  <c r="AD41" i="1"/>
  <c r="AD38" i="1"/>
  <c r="Y33" i="1"/>
  <c r="AC33" i="1" s="1"/>
  <c r="AA65" i="1"/>
  <c r="AA61" i="1"/>
  <c r="K5" i="1"/>
  <c r="O5" i="1" s="1"/>
  <c r="J15" i="1"/>
  <c r="M19" i="1" s="1"/>
  <c r="AM32" i="1" l="1"/>
  <c r="M5" i="1"/>
  <c r="M7" i="1" s="1"/>
  <c r="Q5" i="1"/>
  <c r="Q7" i="1" s="1"/>
  <c r="Q10" i="1" s="1"/>
  <c r="F41" i="1" s="1"/>
  <c r="O7" i="1"/>
  <c r="O10" i="1" s="1"/>
  <c r="F25" i="1"/>
  <c r="F20" i="1"/>
  <c r="F35" i="1"/>
  <c r="AL33" i="1" l="1"/>
  <c r="S5" i="1"/>
  <c r="S7" i="1" s="1"/>
  <c r="M20" i="1"/>
  <c r="AA54" i="1" s="1"/>
  <c r="D20" i="1"/>
  <c r="F38" i="1"/>
  <c r="H38" i="1" s="1"/>
  <c r="H32" i="1"/>
  <c r="H29" i="1"/>
  <c r="H26" i="1"/>
  <c r="H27" i="1"/>
  <c r="H30" i="1"/>
  <c r="H31" i="1"/>
  <c r="H33" i="1"/>
  <c r="H25" i="1"/>
  <c r="H28" i="1"/>
  <c r="O30" i="1"/>
  <c r="O31" i="1" s="1"/>
  <c r="AM33" i="1" l="1"/>
  <c r="AA63" i="1"/>
  <c r="P19" i="1"/>
  <c r="F19" i="1"/>
  <c r="F36" i="1" s="1"/>
  <c r="AA6" i="1" s="1"/>
  <c r="AA19" i="1" s="1"/>
  <c r="P20" i="1"/>
  <c r="F42" i="1"/>
  <c r="I26" i="1"/>
  <c r="I28" i="1"/>
  <c r="D21" i="1"/>
  <c r="F55" i="1" l="1"/>
  <c r="X32" i="1"/>
  <c r="X33" i="1"/>
  <c r="X34" i="1"/>
  <c r="X35" i="1"/>
  <c r="X37" i="1"/>
  <c r="X38" i="1"/>
  <c r="X31" i="1"/>
  <c r="X36" i="1"/>
  <c r="X39" i="1"/>
  <c r="X40" i="1"/>
  <c r="X50" i="1"/>
  <c r="X43" i="1"/>
  <c r="X47" i="1"/>
  <c r="X49" i="1"/>
  <c r="X44" i="1"/>
  <c r="X41" i="1"/>
  <c r="X42" i="1"/>
  <c r="X48" i="1"/>
  <c r="X45" i="1"/>
  <c r="X46" i="1"/>
  <c r="AA55" i="1"/>
  <c r="AA62" i="1" s="1"/>
  <c r="AA64" i="1" s="1"/>
  <c r="AA10" i="1" s="1"/>
  <c r="AL34" i="1"/>
  <c r="F45" i="1"/>
  <c r="F43" i="1"/>
  <c r="F46" i="1"/>
  <c r="F44" i="1"/>
  <c r="AM34" i="1" l="1"/>
  <c r="AN34" i="1"/>
  <c r="AU31" i="1"/>
  <c r="Z31" i="1"/>
  <c r="AE30" i="1"/>
  <c r="AH30" i="1" s="1"/>
  <c r="AE50" i="1"/>
  <c r="AN31" i="1"/>
  <c r="AO31" i="1"/>
  <c r="AN32" i="1"/>
  <c r="AO32" i="1"/>
  <c r="AN33" i="1"/>
  <c r="AU39" i="1"/>
  <c r="Z39" i="1"/>
  <c r="AU36" i="1"/>
  <c r="Z36" i="1"/>
  <c r="AU38" i="1"/>
  <c r="Z38" i="1"/>
  <c r="AU41" i="1"/>
  <c r="Z41" i="1"/>
  <c r="AU44" i="1"/>
  <c r="Z44" i="1"/>
  <c r="AU35" i="1"/>
  <c r="Z35" i="1"/>
  <c r="AU34" i="1"/>
  <c r="Z34" i="1"/>
  <c r="AU49" i="1"/>
  <c r="Z49" i="1"/>
  <c r="AU33" i="1"/>
  <c r="Z33" i="1"/>
  <c r="AU43" i="1"/>
  <c r="Z43" i="1"/>
  <c r="AO33" i="1"/>
  <c r="AU50" i="1"/>
  <c r="Z50" i="1"/>
  <c r="AU40" i="1"/>
  <c r="Z40" i="1"/>
  <c r="AU46" i="1"/>
  <c r="Z46" i="1"/>
  <c r="AU45" i="1"/>
  <c r="Z45" i="1"/>
  <c r="AU48" i="1"/>
  <c r="Z48" i="1"/>
  <c r="AU42" i="1"/>
  <c r="Z42" i="1"/>
  <c r="AU37" i="1"/>
  <c r="Z37" i="1"/>
  <c r="AU47" i="1"/>
  <c r="Z47" i="1"/>
  <c r="AU32" i="1"/>
  <c r="Z32" i="1"/>
  <c r="F50" i="1"/>
  <c r="V73" i="1" l="1"/>
  <c r="V74" i="1"/>
  <c r="V75" i="1"/>
  <c r="V76" i="1"/>
  <c r="AA37" i="1"/>
  <c r="AB37" i="1" s="1"/>
  <c r="AH37" i="1" s="1"/>
  <c r="AJ37" i="1" s="1"/>
  <c r="AA44" i="1"/>
  <c r="AB44" i="1" s="1"/>
  <c r="AH44" i="1" s="1"/>
  <c r="AJ44" i="1" s="1"/>
  <c r="AA42" i="1"/>
  <c r="AB42" i="1" s="1"/>
  <c r="AH42" i="1" s="1"/>
  <c r="AJ42" i="1" s="1"/>
  <c r="AA48" i="1"/>
  <c r="AB48" i="1" s="1"/>
  <c r="AH48" i="1" s="1"/>
  <c r="AJ48" i="1" s="1"/>
  <c r="AA43" i="1"/>
  <c r="AB43" i="1" s="1"/>
  <c r="AH43" i="1" s="1"/>
  <c r="AJ43" i="1" s="1"/>
  <c r="AA40" i="1"/>
  <c r="AB40" i="1" s="1"/>
  <c r="AH40" i="1" s="1"/>
  <c r="AJ40" i="1" s="1"/>
  <c r="AA35" i="1"/>
  <c r="AB35" i="1" s="1"/>
  <c r="AH35" i="1" s="1"/>
  <c r="AJ35" i="1" s="1"/>
  <c r="AA41" i="1"/>
  <c r="AB41" i="1" s="1"/>
  <c r="AH41" i="1" s="1"/>
  <c r="AJ41" i="1" s="1"/>
  <c r="AA33" i="1"/>
  <c r="AB33" i="1" s="1"/>
  <c r="AH33" i="1" s="1"/>
  <c r="AJ33" i="1" s="1"/>
  <c r="AA38" i="1"/>
  <c r="AB38" i="1" s="1"/>
  <c r="AH38" i="1" s="1"/>
  <c r="AJ38" i="1" s="1"/>
  <c r="AA45" i="1"/>
  <c r="AB45" i="1" s="1"/>
  <c r="AH45" i="1" s="1"/>
  <c r="AJ45" i="1" s="1"/>
  <c r="AA31" i="1"/>
  <c r="AB31" i="1" s="1"/>
  <c r="AH31" i="1" s="1"/>
  <c r="AA49" i="1"/>
  <c r="AB49" i="1" s="1"/>
  <c r="AH49" i="1" s="1"/>
  <c r="AJ49" i="1" s="1"/>
  <c r="AA36" i="1"/>
  <c r="AB36" i="1" s="1"/>
  <c r="AH36" i="1" s="1"/>
  <c r="AJ36" i="1" s="1"/>
  <c r="AA32" i="1"/>
  <c r="AB32" i="1" s="1"/>
  <c r="AA46" i="1"/>
  <c r="AB46" i="1" s="1"/>
  <c r="AH46" i="1" s="1"/>
  <c r="AJ46" i="1" s="1"/>
  <c r="AA47" i="1"/>
  <c r="AB47" i="1" s="1"/>
  <c r="AH47" i="1" s="1"/>
  <c r="AJ47" i="1" s="1"/>
  <c r="AQ33" i="1"/>
  <c r="AA50" i="1"/>
  <c r="AB50" i="1" s="1"/>
  <c r="AQ32" i="1"/>
  <c r="AQ31" i="1"/>
  <c r="AJ30" i="1"/>
  <c r="AK30" i="1" s="1"/>
  <c r="AI30" i="1"/>
  <c r="AA34" i="1"/>
  <c r="AB34" i="1" s="1"/>
  <c r="AH34" i="1" s="1"/>
  <c r="AJ34" i="1" s="1"/>
  <c r="AA39" i="1"/>
  <c r="AB39" i="1" s="1"/>
  <c r="AH39" i="1" s="1"/>
  <c r="AJ39" i="1" s="1"/>
  <c r="AO34" i="1"/>
  <c r="AQ34" i="1" s="1"/>
  <c r="AL35" i="1"/>
  <c r="AA21" i="1" l="1"/>
  <c r="F57" i="1" s="1"/>
  <c r="AT34" i="1"/>
  <c r="AP34" i="1"/>
  <c r="AH32" i="1"/>
  <c r="AJ32" i="1" s="1"/>
  <c r="AT32" i="1"/>
  <c r="AP32" i="1"/>
  <c r="AJ31" i="1"/>
  <c r="AK31" i="1" s="1"/>
  <c r="AT31" i="1"/>
  <c r="AA22" i="1" s="1"/>
  <c r="F48" i="1" s="1"/>
  <c r="AM35" i="1"/>
  <c r="AN35" i="1"/>
  <c r="AT33" i="1"/>
  <c r="AI31" i="1"/>
  <c r="AP33" i="1"/>
  <c r="AP31" i="1"/>
  <c r="AA20" i="1" l="1"/>
  <c r="F56" i="1" s="1"/>
  <c r="AI32" i="1"/>
  <c r="AI33" i="1" s="1"/>
  <c r="AI34" i="1" s="1"/>
  <c r="AI35" i="1" s="1"/>
  <c r="AI36" i="1" s="1"/>
  <c r="AI37" i="1" s="1"/>
  <c r="AI38" i="1" s="1"/>
  <c r="AI39" i="1" s="1"/>
  <c r="AI40" i="1" s="1"/>
  <c r="AI41" i="1" s="1"/>
  <c r="AI42" i="1" s="1"/>
  <c r="AI43" i="1" s="1"/>
  <c r="AI44" i="1" s="1"/>
  <c r="AI45" i="1" s="1"/>
  <c r="AI46" i="1" s="1"/>
  <c r="AI47" i="1" s="1"/>
  <c r="AI48" i="1" s="1"/>
  <c r="AI49" i="1" s="1"/>
  <c r="AK32" i="1"/>
  <c r="AK33" i="1" s="1"/>
  <c r="AK34" i="1" s="1"/>
  <c r="AK35" i="1" s="1"/>
  <c r="AK36" i="1" s="1"/>
  <c r="AK37" i="1" s="1"/>
  <c r="AK38" i="1" s="1"/>
  <c r="AK39" i="1" s="1"/>
  <c r="AK40" i="1" s="1"/>
  <c r="AK41" i="1" s="1"/>
  <c r="AK42" i="1" s="1"/>
  <c r="AK43" i="1" s="1"/>
  <c r="AK44" i="1" s="1"/>
  <c r="AK45" i="1" s="1"/>
  <c r="AK46" i="1" s="1"/>
  <c r="AK47" i="1" s="1"/>
  <c r="AK48" i="1" s="1"/>
  <c r="AK49" i="1" s="1"/>
  <c r="AR31" i="1"/>
  <c r="AO35" i="1"/>
  <c r="AP35" i="1" s="1"/>
  <c r="AL36" i="1"/>
  <c r="AS31" i="1"/>
  <c r="AQ35" i="1" l="1"/>
  <c r="AT35" i="1"/>
  <c r="AS32" i="1"/>
  <c r="AS33" i="1" s="1"/>
  <c r="AN36" i="1"/>
  <c r="AM36" i="1"/>
  <c r="AR32" i="1"/>
  <c r="AR33" i="1" s="1"/>
  <c r="AR34" i="1" l="1"/>
  <c r="AR35" i="1" s="1"/>
  <c r="AS34" i="1"/>
  <c r="AS35" i="1" s="1"/>
  <c r="AS36" i="1" s="1"/>
  <c r="AO36" i="1"/>
  <c r="AQ36" i="1" s="1"/>
  <c r="AL37" i="1"/>
  <c r="AT36" i="1" l="1"/>
  <c r="AP36" i="1"/>
  <c r="AR36" i="1"/>
  <c r="AR37" i="1" s="1"/>
  <c r="AS37" i="1"/>
  <c r="AS38" i="1" s="1"/>
  <c r="AM37" i="1"/>
  <c r="AN37" i="1"/>
  <c r="AR38" i="1" l="1"/>
  <c r="AR39" i="1" s="1"/>
  <c r="AO37" i="1"/>
  <c r="AP37" i="1" s="1"/>
  <c r="AL38" i="1"/>
  <c r="AS39" i="1"/>
  <c r="AQ37" i="1" l="1"/>
  <c r="AT37" i="1"/>
  <c r="AS40" i="1"/>
  <c r="AS41" i="1" s="1"/>
  <c r="AS42" i="1" s="1"/>
  <c r="AS43" i="1" s="1"/>
  <c r="AS44" i="1" s="1"/>
  <c r="AS45" i="1" s="1"/>
  <c r="AS46" i="1" s="1"/>
  <c r="AS47" i="1" s="1"/>
  <c r="AS48" i="1" s="1"/>
  <c r="AS49" i="1" s="1"/>
  <c r="AM38" i="1"/>
  <c r="AN38" i="1"/>
  <c r="AR40" i="1"/>
  <c r="AO38" i="1" l="1"/>
  <c r="AT38" i="1" s="1"/>
  <c r="AL39" i="1"/>
  <c r="AR41" i="1"/>
  <c r="AR42" i="1" s="1"/>
  <c r="AR43" i="1" s="1"/>
  <c r="AR44" i="1" s="1"/>
  <c r="AR45" i="1" s="1"/>
  <c r="AR46" i="1" s="1"/>
  <c r="AR47" i="1" s="1"/>
  <c r="AR48" i="1" s="1"/>
  <c r="AR49" i="1" s="1"/>
  <c r="AP38" i="1" l="1"/>
  <c r="AM39" i="1"/>
  <c r="AN39" i="1"/>
  <c r="AQ38" i="1"/>
  <c r="AO39" i="1" l="1"/>
  <c r="AP39" i="1" s="1"/>
  <c r="AL40" i="1"/>
  <c r="AM40" i="1" l="1"/>
  <c r="AN40" i="1"/>
  <c r="AQ39" i="1"/>
  <c r="AT39" i="1"/>
  <c r="AO40" i="1" l="1"/>
  <c r="AP40" i="1" s="1"/>
  <c r="AL41" i="1"/>
  <c r="AM41" i="1" l="1"/>
  <c r="AN41" i="1"/>
  <c r="AQ40" i="1"/>
  <c r="AT40" i="1"/>
  <c r="AO41" i="1" l="1"/>
  <c r="AP41" i="1" s="1"/>
  <c r="AL42" i="1"/>
  <c r="AN42" i="1" l="1"/>
  <c r="AM42" i="1"/>
  <c r="AQ41" i="1"/>
  <c r="AT41" i="1"/>
  <c r="AO42" i="1" l="1"/>
  <c r="AP42" i="1" s="1"/>
  <c r="AL43" i="1"/>
  <c r="AQ42" i="1" l="1"/>
  <c r="AT42" i="1"/>
  <c r="AM43" i="1"/>
  <c r="AN43" i="1"/>
  <c r="AO43" i="1" l="1"/>
  <c r="AP43" i="1" s="1"/>
  <c r="AL44" i="1"/>
  <c r="AM44" i="1" l="1"/>
  <c r="AN44" i="1"/>
  <c r="AQ43" i="1"/>
  <c r="AT43" i="1"/>
  <c r="AO44" i="1" l="1"/>
  <c r="AT44" i="1" s="1"/>
  <c r="AL45" i="1"/>
  <c r="AP44" i="1" l="1"/>
  <c r="AN45" i="1"/>
  <c r="AM45" i="1"/>
  <c r="AQ44" i="1"/>
  <c r="AO45" i="1" l="1"/>
  <c r="AP45" i="1" s="1"/>
  <c r="AL46" i="1"/>
  <c r="AQ45" i="1" l="1"/>
  <c r="AT45" i="1"/>
  <c r="AN46" i="1"/>
  <c r="AM46" i="1"/>
  <c r="AO46" i="1" l="1"/>
  <c r="AP46" i="1" s="1"/>
  <c r="AL47" i="1"/>
  <c r="AT46" i="1" l="1"/>
  <c r="AQ46" i="1"/>
  <c r="AM47" i="1"/>
  <c r="AN47" i="1"/>
  <c r="AO47" i="1" l="1"/>
  <c r="AP47" i="1" s="1"/>
  <c r="AL48" i="1"/>
  <c r="AN48" i="1" l="1"/>
  <c r="AM48" i="1"/>
  <c r="AQ47" i="1"/>
  <c r="AT47" i="1"/>
  <c r="AO48" i="1" l="1"/>
  <c r="AQ48" i="1" s="1"/>
  <c r="AL49" i="1"/>
  <c r="AP48" i="1"/>
  <c r="AT48" i="1"/>
  <c r="AM49" i="1" l="1"/>
  <c r="AN49" i="1"/>
  <c r="AO49" i="1" l="1"/>
  <c r="AT49" i="1" s="1"/>
  <c r="AL50" i="1"/>
  <c r="AQ49" i="1" l="1"/>
  <c r="AN50" i="1"/>
  <c r="AM50" i="1"/>
  <c r="AP49" i="1"/>
  <c r="AO50" i="1" l="1"/>
  <c r="AQ50" i="1" s="1"/>
  <c r="AG50" i="1"/>
  <c r="AH50" i="1" s="1"/>
  <c r="AP50" i="1" l="1"/>
  <c r="AT50" i="1"/>
  <c r="AA15" i="1"/>
  <c r="AA16" i="1"/>
  <c r="V81" i="1" s="1"/>
  <c r="V82" i="1" s="1"/>
  <c r="V83" i="1" s="1"/>
  <c r="AJ50" i="1"/>
  <c r="AK50" i="1" s="1"/>
  <c r="AS50" i="1" s="1"/>
  <c r="AI50" i="1"/>
  <c r="AR50" i="1" s="1"/>
  <c r="AA18" i="1" l="1"/>
  <c r="F40" i="1" s="1"/>
  <c r="AA17" i="1"/>
  <c r="F39" i="1" s="1"/>
  <c r="D23" i="1"/>
  <c r="F51" i="1"/>
  <c r="F49" i="1"/>
  <c r="F52" i="1" l="1"/>
  <c r="F54" i="1" l="1"/>
  <c r="F53" i="1"/>
</calcChain>
</file>

<file path=xl/sharedStrings.xml><?xml version="1.0" encoding="utf-8"?>
<sst xmlns="http://schemas.openxmlformats.org/spreadsheetml/2006/main" count="245" uniqueCount="175">
  <si>
    <t>área plantada =</t>
  </si>
  <si>
    <t>ha</t>
  </si>
  <si>
    <t>Etapa 1</t>
  </si>
  <si>
    <t>Etapa 2</t>
  </si>
  <si>
    <t>Moagem =</t>
  </si>
  <si>
    <t>Sacarose</t>
  </si>
  <si>
    <t>+</t>
  </si>
  <si>
    <t>Água</t>
  </si>
  <si>
    <t>-----&gt;</t>
  </si>
  <si>
    <t>Glucose + Frutose</t>
  </si>
  <si>
    <t>Gás Carbônico</t>
  </si>
  <si>
    <t>MUS$</t>
  </si>
  <si>
    <t>MUS$/ano</t>
  </si>
  <si>
    <t>Impurezas + Água =</t>
  </si>
  <si>
    <t>Sólidos Solúveis =</t>
  </si>
  <si>
    <t>t base seca</t>
  </si>
  <si>
    <t>Bagaço =</t>
  </si>
  <si>
    <t>Rendimento</t>
  </si>
  <si>
    <t>xxxxxxxx</t>
  </si>
  <si>
    <t>Bagaço disponível para Cogeração =</t>
  </si>
  <si>
    <t>Energia Elétrica =</t>
  </si>
  <si>
    <t>GWh</t>
  </si>
  <si>
    <t>Energia Elétrica usada =</t>
  </si>
  <si>
    <t>Venda de E.E. =</t>
  </si>
  <si>
    <t>Dólar =</t>
  </si>
  <si>
    <t>R$/USD</t>
  </si>
  <si>
    <t>Sugar Cane</t>
  </si>
  <si>
    <t>R$/t</t>
  </si>
  <si>
    <t>US$/t</t>
  </si>
  <si>
    <t>´------&gt;</t>
  </si>
  <si>
    <t>Preço de Venda ESALQ =</t>
  </si>
  <si>
    <t>R$/L</t>
  </si>
  <si>
    <t>Energia Elétrica</t>
  </si>
  <si>
    <t>US$/MWh</t>
  </si>
  <si>
    <t>MUS$/ano ----------------&gt;</t>
  </si>
  <si>
    <t>Custo Operacional =</t>
  </si>
  <si>
    <t>Álcool</t>
  </si>
  <si>
    <t>Preço de Venta - Custo Operacional =</t>
  </si>
  <si>
    <t>TIR =</t>
  </si>
  <si>
    <t>Cana de Açúcar =</t>
  </si>
  <si>
    <t>Energia Termica =</t>
  </si>
  <si>
    <t>(Cana + Energia)</t>
  </si>
  <si>
    <t>Energia Eletrica =</t>
  </si>
  <si>
    <t>MDO =</t>
  </si>
  <si>
    <t>(Cana + Energia + MDO)</t>
  </si>
  <si>
    <t>funcionários</t>
  </si>
  <si>
    <t>Produto Quimico e Enzimas =</t>
  </si>
  <si>
    <t>Tratamento Efluente e Água =</t>
  </si>
  <si>
    <t>Custo Fixo =</t>
  </si>
  <si>
    <t>Manutenção =</t>
  </si>
  <si>
    <t>Custo Total=</t>
  </si>
  <si>
    <t>Investimento =</t>
  </si>
  <si>
    <t>Custo Relativo =</t>
  </si>
  <si>
    <t>US$/l -------&gt;</t>
  </si>
  <si>
    <t>R$/l</t>
  </si>
  <si>
    <t>Rendimento =</t>
  </si>
  <si>
    <t>Eficiência MDO =</t>
  </si>
  <si>
    <t>m³ Eth/funcionário</t>
  </si>
  <si>
    <t>%</t>
  </si>
  <si>
    <t>Lucratividade =</t>
  </si>
  <si>
    <t>USD/m³ Eth</t>
  </si>
  <si>
    <t>Rendimento Agrário =</t>
  </si>
  <si>
    <t>USD/ha</t>
  </si>
  <si>
    <t>Impostos =</t>
  </si>
  <si>
    <t>C12H22O11</t>
  </si>
  <si>
    <t>H2O</t>
  </si>
  <si>
    <t>2 (C6H12O6)</t>
  </si>
  <si>
    <t>4 H3C-CH2-OH</t>
  </si>
  <si>
    <t>2 CO2</t>
  </si>
  <si>
    <t>→</t>
  </si>
  <si>
    <t>US$/m3</t>
  </si>
  <si>
    <t>US$ mil/pessoa/mês — com encargos</t>
  </si>
  <si>
    <t>R$ mil/pessoa/mês — com encargos</t>
  </si>
  <si>
    <t>R$ mil/pessoa/mês — líquido estimado</t>
  </si>
  <si>
    <t>Resultado operacional antes de depreciação =</t>
  </si>
  <si>
    <t>Payback Simples =</t>
  </si>
  <si>
    <t>anos — fluxo após impostos</t>
  </si>
  <si>
    <t>Payback Descontado =</t>
  </si>
  <si>
    <t>em 20 anos — desconto em Dados!E9</t>
  </si>
  <si>
    <t>L etanol/t cana</t>
  </si>
  <si>
    <t>Resultado operacional / custo líquido =</t>
  </si>
  <si>
    <t>Retorno operacional anual / CAPEX =</t>
  </si>
  <si>
    <t>ROIC — ano 1 =</t>
  </si>
  <si>
    <t>VPL =</t>
  </si>
  <si>
    <t>Desembolso inicial total =</t>
  </si>
  <si>
    <t>Folga TIR − taxa de desconto =</t>
  </si>
  <si>
    <t>pontos percentuais</t>
  </si>
  <si>
    <t>Resultado operacional mínimo estimado =</t>
  </si>
  <si>
    <t>Folga do resultado até VPL zero =</t>
  </si>
  <si>
    <t>Folga do resultado até VPL zero (%) =</t>
  </si>
  <si>
    <t>Margem operacional / receita total =</t>
  </si>
  <si>
    <t>ROE — ano 1 =</t>
  </si>
  <si>
    <t>ROCE — ano 1 =</t>
  </si>
  <si>
    <t>VPL (US$ milhões)</t>
  </si>
  <si>
    <t>ETANOL DE CANA | RETORNO FINANCEIRO REVISADO</t>
  </si>
  <si>
    <t>Valores em US$ milhões. Produção e cogeração da cana preservadas. MDO editável na aba operacional. Fluxos anuais no fim de cada ano.</t>
  </si>
  <si>
    <t>Cenário sem financiamento: 100% capital próprio, sem juros e distribuição integral do caixa disponível. ROE não representa cenário alavancado.</t>
  </si>
  <si>
    <t>Investimento inicial</t>
  </si>
  <si>
    <t>Vínculo automático a F37; editar o investimento na origem (US$ milhões).</t>
  </si>
  <si>
    <t>Resultado operacional anual</t>
  </si>
  <si>
    <t>Vínculo automático a F36; resultado antes de depreciação, juros e impostos (US$ milhões).</t>
  </si>
  <si>
    <t>Imposto sobre lucro</t>
  </si>
  <si>
    <t>Vínculo a F47; alíquota hipotética, sem compensação de prejuízos.</t>
  </si>
  <si>
    <t>Vida depreciável</t>
  </si>
  <si>
    <t>anos; depreciação linear, valor contábil residual zero</t>
  </si>
  <si>
    <t>Taxa de desconto</t>
  </si>
  <si>
    <t>10% ilustrativo editável; mesma moeda e base dos fluxos</t>
  </si>
  <si>
    <t>Capital de giro inicial</t>
  </si>
  <si>
    <t>Calculado pelo ciclo operacional abaixo; recuperação no ano 20</t>
  </si>
  <si>
    <t>Reinvestimento anual</t>
  </si>
  <si>
    <t>Reposição capitalizável; hipótese exploratória de 1% do CAPEX ao ano; validar pelo plano de ativos</t>
  </si>
  <si>
    <t>Valor de venda final</t>
  </si>
  <si>
    <t>US$ milhões; tributação simplificada sobre ganho contábil no ano 20</t>
  </si>
  <si>
    <t>TIR do projeto</t>
  </si>
  <si>
    <t>Fluxo do projeto = EBIT − imposto operacional + depreciação − reinvestimentos − variação de capital de giro + venda final líquida de imposto. Sem dívida: lucro líquido = NOPAT e fluxo ao acionista = fluxo do projeto.</t>
  </si>
  <si>
    <t>VPL do projeto</t>
  </si>
  <si>
    <t>Payback simples (anos)</t>
  </si>
  <si>
    <t>Payback descontado (anos)</t>
  </si>
  <si>
    <t>Retorno operacional / CAPEX</t>
  </si>
  <si>
    <t>ROCE e ROIC usam ativo fixo líquido contábil + capital de giro médio. ROE usa patrimônio médio, igual ao capital empregado neste cenário sem dívida e com distribuição integral. Após depreciação total, denominador zero gera “Não aplicável”. Reposições são capitalizadas e depreciadas a partir do ano seguinte, na mesma vida útil; sem baixas antecipadas de ativos substituídos.</t>
  </si>
  <si>
    <t>ROE ano 1 (capital próprio médio)</t>
  </si>
  <si>
    <t>ROCE ano 1 (capital empregado médio)</t>
  </si>
  <si>
    <t>ROIC ano 1 (capital investido médio)</t>
  </si>
  <si>
    <t>Azul / amarelo = premissas editáveis. Imposto é hipótese matemática do arquivo, sem validação fiscal. Fluxos em dólares constantes; taxa real em USD. Sem construção ou rampa; tributação simplificada.</t>
  </si>
  <si>
    <t>Payback usa primeira recuperação do caixa acumulado, com interpolação linear. VPL e TIR usam 20 fluxos anuais mais investimento no ano zero.</t>
  </si>
  <si>
    <t>Não recupera em 20 anos = ausência de cruzamento no horizonte. A TIR e o VPL prevalecem quando há desembolsos posteriores ao primeiro retorno.</t>
  </si>
  <si>
    <t>Ano</t>
  </si>
  <si>
    <t>Resultado operacional</t>
  </si>
  <si>
    <t>Depreciação</t>
  </si>
  <si>
    <t>EBIT</t>
  </si>
  <si>
    <t>Imposto operacional</t>
  </si>
  <si>
    <t>NOPAT / lucro líquido</t>
  </si>
  <si>
    <t>Deprec. adicionada</t>
  </si>
  <si>
    <t>Reinvestimento</t>
  </si>
  <si>
    <t>Δ capital de giro</t>
  </si>
  <si>
    <t>CAPEX inicial</t>
  </si>
  <si>
    <t>Venda final líquida</t>
  </si>
  <si>
    <t>FCFF / FCFE</t>
  </si>
  <si>
    <t>Caixa acumulado</t>
  </si>
  <si>
    <t>Fluxo descontado</t>
  </si>
  <si>
    <t>Acum. descontado</t>
  </si>
  <si>
    <t>Ativo fixo inicial</t>
  </si>
  <si>
    <t>Ativo fixo final</t>
  </si>
  <si>
    <t>Capital inicial</t>
  </si>
  <si>
    <t>Capital final</t>
  </si>
  <si>
    <t>ROE</t>
  </si>
  <si>
    <t>ROCE</t>
  </si>
  <si>
    <t>Payback simples</t>
  </si>
  <si>
    <t>Payback descontado</t>
  </si>
  <si>
    <t>ROIC</t>
  </si>
  <si>
    <t>Retorno / CAPEX inicial</t>
  </si>
  <si>
    <t>CAPITAL DE GIRO E REPOSIÇÕES | bases anuais e prazos editáveis</t>
  </si>
  <si>
    <t>Receita anual total</t>
  </si>
  <si>
    <t>US$ milhões; receitas dos produtos e coprodutos desta planilha.</t>
  </si>
  <si>
    <t>Custo anual de caixa</t>
  </si>
  <si>
    <t>US$ milhões; receita menos resultado operacional informado</t>
  </si>
  <si>
    <t>Compras anuais de cana</t>
  </si>
  <si>
    <t>US$ milhões; base de fornecedores apenas cana</t>
  </si>
  <si>
    <t>Dias de cana em estoque</t>
  </si>
  <si>
    <t>Hipótese ilustrativa editável de 1 dia de cana; ajustar à logística da safra.</t>
  </si>
  <si>
    <t>Dias de produtos acabados</t>
  </si>
  <si>
    <t>Hipótese central editável; testar 5 / 10 / 15 dias; custo de caixa como aproximação</t>
  </si>
  <si>
    <t>Dias de clientes</t>
  </si>
  <si>
    <t>Hipótese central editável; testar 15 / 30 / 45 dias</t>
  </si>
  <si>
    <t>Dias de fornecedores de cana</t>
  </si>
  <si>
    <t>Hipótese central editável; testar 15 / 30 / 45 dias; demais fornecedores não incluídos</t>
  </si>
  <si>
    <t>Estoque de cana</t>
  </si>
  <si>
    <t>US$ milhões; cana comprado</t>
  </si>
  <si>
    <t>Produtos acabados</t>
  </si>
  <si>
    <t>US$ milhões; aproximação pelo custo de caixa total</t>
  </si>
  <si>
    <t>Contas a receber</t>
  </si>
  <si>
    <t>US$ milhões; receita anual total</t>
  </si>
  <si>
    <t>US$ milhões; estoques + clientes − fornecedores, mínimo zero</t>
  </si>
  <si>
    <t>Fornecedores de cana</t>
  </si>
  <si>
    <t>US$ milhões; financiamento comercial das compras de 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</si>
</sst>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t @&quot;\ 0.0%"/>
    <numFmt numFmtId="165" formatCode="&quot;~      &quot;#,##0"/>
    <numFmt numFmtId="166" formatCode="&quot;tpd @&quot;\ 0.0%"/>
    <numFmt numFmtId="167" formatCode="0.0%"/>
    <numFmt numFmtId="168" formatCode="0\ &quot;g/mol&quot;"/>
    <numFmt numFmtId="169" formatCode="#,##0\ &quot;t&quot;"/>
    <numFmt numFmtId="170" formatCode="#,##0\ &quot;m³&quot;"/>
    <numFmt numFmtId="171" formatCode="0.0"/>
    <numFmt numFmtId="172" formatCode="#,##0.0"/>
    <numFmt numFmtId="173" formatCode="&quot;Custo com terra em&quot;\ 0\ &quot;USD/ha =&quot;"/>
    <numFmt numFmtId="175" formatCode="#,##0.00;[Red]\(#,##0.00\);\–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sz val="10"/>
      <color theme="1"/>
      <name val="Calibri"/>
      <family val="2"/>
    </font>
    <font>
      <b/>
      <sz val="11"/>
      <color rgb="FF0070C0"/>
      <name val="Calibri"/>
      <family val="2"/>
      <scheme val="minor"/>
    </font>
    <font>
      <sz val="10"/>
      <name val="Arial"/>
    </font>
    <font>
      <sz val="10"/>
      <color rgb="FF1D4ED8"/>
      <name val="Arial"/>
    </font>
    <font>
      <b/>
      <sz val="10"/>
      <color rgb="FFFFFFFF"/>
      <name val="Arial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10"/>
      <name val="Arial"/>
    </font>
    <font>
      <sz val="10"/>
      <color rgb="FF166534"/>
      <name val="Arial"/>
    </font>
    <font>
      <b/>
      <sz val="11"/>
      <color rgb="FFFFFFFF"/>
      <name val="Calibri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none"/>
    </fill>
    <fill>
      <patternFill patternType="none"/>
    </fill>
    <fill>
      <patternFill patternType="solid">
        <fgColor rgb="FFFFF1CC"/>
      </patternFill>
    </fill>
    <fill>
      <patternFill patternType="solid">
        <fgColor rgb="FF16324F"/>
      </patternFill>
    </fill>
    <fill>
      <patternFill patternType="solid">
        <fgColor rgb="FFE7F2EE"/>
      </patternFill>
    </fill>
    <fill>
      <patternFill patternType="solid">
        <fgColor rgb="FFF0F4F8"/>
      </patternFill>
    </fill>
    <fill>
      <patternFill patternType="none"/>
    </fill>
    <fill>
      <patternFill patternType="none"/>
    </fill>
    <fill>
      <patternFill patternType="solid">
        <fgColor rgb="FFE8EEF5"/>
      </patternFill>
    </fill>
    <fill>
      <patternFill patternType="solid">
        <fgColor rgb="FF16324F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0" fontId="8" fillId="4" borderId="1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/>
    </xf>
  </cellStyleXfs>
  <cellXfs count="1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8" fontId="1" fillId="2" borderId="0" xfId="0" applyNumberFormat="1" applyFont="1" applyFill="1" applyAlignment="1">
      <alignment horizontal="center"/>
    </xf>
    <xf numFmtId="169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67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9" fontId="2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" fontId="4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" fontId="1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72" fontId="2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right" vertical="center"/>
    </xf>
    <xf numFmtId="1" fontId="1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71" fontId="2" fillId="0" borderId="0" xfId="0" applyNumberFormat="1" applyFont="1" applyAlignment="1">
      <alignment horizontal="right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right" vertical="center"/>
    </xf>
    <xf numFmtId="0" fontId="8" fillId="4" borderId="10" xfId="1" applyFont="1" applyAlignment="1">
      <alignment horizontal="center" vertical="center"/>
    </xf>
    <xf numFmtId="3" fontId="8" fillId="4" borderId="10" xfId="1" applyNumberFormat="1" applyFont="1" applyAlignment="1">
      <alignment horizontal="right" vertical="center"/>
    </xf>
    <xf numFmtId="1" fontId="8" fillId="4" borderId="10" xfId="1" applyNumberFormat="1" applyFont="1" applyAlignment="1">
      <alignment horizontal="center" vertical="center"/>
    </xf>
    <xf numFmtId="167" fontId="8" fillId="4" borderId="10" xfId="1" applyNumberFormat="1" applyFont="1" applyAlignment="1">
      <alignment horizontal="center" vertical="center"/>
    </xf>
    <xf numFmtId="0" fontId="8" fillId="4" borderId="10" xfId="1" applyFont="1" applyAlignment="1">
      <alignment horizontal="left" vertical="center"/>
    </xf>
    <xf numFmtId="0" fontId="9" fillId="4" borderId="10" xfId="1" applyFont="1" applyAlignment="1">
      <alignment horizontal="left" vertical="center"/>
    </xf>
    <xf numFmtId="2" fontId="8" fillId="4" borderId="10" xfId="1" applyNumberFormat="1" applyFont="1" applyAlignment="1">
      <alignment horizontal="right" vertical="center"/>
    </xf>
    <xf numFmtId="171" fontId="8" fillId="4" borderId="10" xfId="1" applyNumberFormat="1" applyFont="1" applyAlignment="1">
      <alignment horizontal="right" vertical="center"/>
    </xf>
    <xf numFmtId="171" fontId="8" fillId="4" borderId="10" xfId="1" applyNumberFormat="1" applyFont="1" applyAlignment="1">
      <alignment horizontal="center" vertical="center"/>
    </xf>
    <xf numFmtId="0" fontId="8" fillId="4" borderId="12" xfId="1" applyFont="1" applyBorder="1" applyAlignment="1">
      <alignment horizontal="left" vertical="center"/>
    </xf>
    <xf numFmtId="171" fontId="9" fillId="4" borderId="10" xfId="1" applyNumberFormat="1" applyFont="1" applyAlignment="1">
      <alignment horizontal="right" vertical="center"/>
    </xf>
    <xf numFmtId="0" fontId="7" fillId="4" borderId="10" xfId="1" applyAlignment="1">
      <alignment horizontal="center" vertical="center"/>
    </xf>
    <xf numFmtId="1" fontId="7" fillId="4" borderId="10" xfId="1" applyNumberFormat="1" applyAlignment="1">
      <alignment horizontal="center"/>
    </xf>
    <xf numFmtId="0" fontId="11" fillId="4" borderId="10" xfId="1" applyFont="1" applyAlignment="1">
      <alignment horizontal="left" vertical="center"/>
    </xf>
    <xf numFmtId="1" fontId="8" fillId="4" borderId="10" xfId="1" applyNumberFormat="1" applyFont="1" applyAlignment="1">
      <alignment horizontal="right" vertical="center"/>
    </xf>
    <xf numFmtId="171" fontId="7" fillId="4" borderId="10" xfId="1" applyNumberFormat="1" applyAlignment="1">
      <alignment horizontal="center" vertical="center"/>
    </xf>
    <xf numFmtId="2" fontId="8" fillId="4" borderId="11" xfId="1" applyNumberFormat="1" applyFont="1" applyBorder="1" applyAlignment="1">
      <alignment horizontal="right" vertical="center"/>
    </xf>
    <xf numFmtId="0" fontId="12" fillId="5" borderId="13" xfId="2" applyNumberFormat="1" applyFont="1" applyFill="1" applyBorder="1" applyAlignment="1"/>
    <xf numFmtId="4" fontId="12" fillId="5" borderId="13" xfId="2" applyNumberFormat="1" applyFont="1" applyFill="1" applyBorder="1" applyAlignment="1"/>
    <xf numFmtId="4" fontId="12" fillId="6" borderId="13" xfId="2" applyNumberFormat="1" applyFont="1" applyFill="1" applyBorder="1" applyAlignment="1"/>
    <xf numFmtId="4" fontId="13" fillId="6" borderId="13" xfId="2" applyNumberFormat="1" applyFont="1" applyFill="1" applyBorder="1" applyAlignment="1"/>
    <xf numFmtId="167" fontId="13" fillId="6" borderId="13" xfId="2" applyNumberFormat="1" applyFont="1" applyFill="1" applyBorder="1" applyAlignment="1"/>
    <xf numFmtId="10" fontId="12" fillId="5" borderId="13" xfId="2" applyNumberFormat="1" applyFont="1" applyFill="1" applyBorder="1" applyAlignment="1"/>
    <xf numFmtId="175" fontId="12" fillId="5" borderId="13" xfId="2" applyNumberFormat="1" applyFont="1" applyFill="1" applyBorder="1" applyAlignment="1"/>
    <xf numFmtId="2" fontId="12" fillId="5" borderId="13" xfId="2" applyNumberFormat="1" applyFont="1" applyFill="1" applyBorder="1" applyAlignment="1"/>
    <xf numFmtId="0" fontId="14" fillId="7" borderId="13" xfId="2" applyNumberFormat="1" applyFont="1" applyFill="1" applyBorder="1" applyAlignment="1">
      <alignment wrapText="1"/>
    </xf>
    <xf numFmtId="10" fontId="12" fillId="8" borderId="13" xfId="2" applyNumberFormat="1" applyFont="1" applyFill="1" applyBorder="1" applyAlignment="1"/>
    <xf numFmtId="4" fontId="12" fillId="8" borderId="13" xfId="2" applyNumberFormat="1" applyFont="1" applyFill="1" applyBorder="1" applyAlignment="1"/>
    <xf numFmtId="0" fontId="12" fillId="9" borderId="13" xfId="2" applyNumberFormat="1" applyFont="1" applyFill="1" applyBorder="1" applyAlignment="1"/>
    <xf numFmtId="175" fontId="12" fillId="9" borderId="13" xfId="2" applyNumberFormat="1" applyFont="1" applyFill="1" applyBorder="1" applyAlignment="1"/>
    <xf numFmtId="10" fontId="12" fillId="9" borderId="13" xfId="2" applyNumberFormat="1" applyFont="1" applyFill="1" applyBorder="1" applyAlignment="1"/>
    <xf numFmtId="2" fontId="12" fillId="9" borderId="13" xfId="2" applyNumberFormat="1" applyFont="1" applyFill="1" applyBorder="1" applyAlignment="1"/>
    <xf numFmtId="0" fontId="12" fillId="5" borderId="13" xfId="2" applyNumberFormat="1" applyFont="1" applyFill="1" applyBorder="1" applyAlignment="1">
      <alignment vertical="center" wrapText="1"/>
    </xf>
    <xf numFmtId="171" fontId="17" fillId="10" borderId="14" xfId="3" applyNumberFormat="1" applyFont="1" applyFill="1" applyBorder="1" applyAlignment="1">
      <alignment horizontal="right" vertical="center"/>
    </xf>
    <xf numFmtId="0" fontId="19" fillId="10" borderId="14" xfId="3" applyFont="1" applyFill="1" applyBorder="1" applyAlignment="1">
      <alignment horizontal="right" vertical="center"/>
    </xf>
    <xf numFmtId="4" fontId="21" fillId="12" borderId="14" xfId="3" applyNumberFormat="1" applyFont="1" applyFill="1" applyBorder="1"/>
    <xf numFmtId="167" fontId="21" fillId="12" borderId="14" xfId="3" applyNumberFormat="1" applyFont="1" applyFill="1" applyBorder="1"/>
    <xf numFmtId="0" fontId="8" fillId="14" borderId="10" xfId="1" applyFont="1" applyFill="1" applyAlignment="1">
      <alignment horizontal="center" vertical="center"/>
    </xf>
    <xf numFmtId="2" fontId="17" fillId="14" borderId="14" xfId="3" applyNumberFormat="1" applyFont="1" applyFill="1" applyBorder="1" applyAlignment="1">
      <alignment horizontal="right" vertical="center"/>
    </xf>
    <xf numFmtId="0" fontId="17" fillId="14" borderId="14" xfId="3" applyFont="1" applyFill="1" applyBorder="1" applyAlignment="1">
      <alignment horizontal="left" vertical="center" wrapText="1"/>
    </xf>
    <xf numFmtId="0" fontId="12" fillId="5" borderId="13" xfId="2" applyFont="1" applyFill="1" applyBorder="1" applyAlignment="1">
      <alignment wrapText="1"/>
    </xf>
    <xf numFmtId="0" fontId="12" fillId="5" borderId="13" xfId="2" applyFont="1" applyFill="1" applyBorder="1" applyAlignment="1"/>
    <xf numFmtId="0" fontId="17" fillId="10" borderId="14" xfId="3" applyNumberFormat="1" applyFont="1" applyFill="1" applyBorder="1" applyAlignment="1">
      <alignment horizontal="right" vertical="center" wrapText="1"/>
    </xf>
    <xf numFmtId="0" fontId="8" fillId="4" borderId="10" xfId="1" applyFont="1" applyAlignment="1">
      <alignment horizontal="center" vertical="center"/>
    </xf>
    <xf numFmtId="0" fontId="10" fillId="14" borderId="15" xfId="3" applyNumberFormat="1" applyFont="1" applyFill="1" applyBorder="1" applyAlignment="1">
      <alignment horizontal="center" vertical="center" wrapText="1"/>
    </xf>
    <xf numFmtId="0" fontId="17" fillId="14" borderId="14" xfId="3" applyNumberFormat="1" applyFont="1" applyFill="1" applyBorder="1" applyAlignment="1">
      <alignment horizontal="right" vertical="center" wrapText="1"/>
    </xf>
    <xf numFmtId="0" fontId="8" fillId="14" borderId="10" xfId="1" applyFont="1" applyFill="1" applyAlignment="1">
      <alignment horizontal="center" vertical="center"/>
    </xf>
    <xf numFmtId="0" fontId="19" fillId="10" borderId="14" xfId="3" applyNumberFormat="1" applyFont="1" applyFill="1" applyBorder="1" applyAlignment="1">
      <alignment horizontal="right" vertical="center" wrapText="1"/>
    </xf>
    <xf numFmtId="0" fontId="16" fillId="10" borderId="14" xfId="3" applyNumberFormat="1" applyFont="1" applyFill="1" applyBorder="1" applyAlignment="1">
      <alignment horizontal="right" vertical="center" wrapText="1"/>
    </xf>
    <xf numFmtId="0" fontId="17" fillId="10" borderId="15" xfId="3" applyNumberFormat="1" applyFont="1" applyFill="1" applyBorder="1" applyAlignment="1">
      <alignment horizontal="right" vertical="center" wrapText="1"/>
    </xf>
    <xf numFmtId="0" fontId="17" fillId="14" borderId="14" xfId="3" applyNumberFormat="1" applyFont="1" applyFill="1" applyBorder="1" applyAlignment="1">
      <alignment horizontal="left" vertical="center" wrapText="1"/>
    </xf>
    <xf numFmtId="0" fontId="8" fillId="14" borderId="14" xfId="3" applyNumberFormat="1" applyFont="1" applyFill="1" applyBorder="1" applyAlignment="1">
      <alignment horizontal="left" vertical="center" wrapText="1"/>
    </xf>
    <xf numFmtId="0" fontId="17" fillId="10" borderId="14" xfId="3" applyNumberFormat="1" applyFont="1" applyFill="1" applyBorder="1" applyAlignment="1">
      <alignment horizontal="left" vertical="center"/>
    </xf>
    <xf numFmtId="171" fontId="8" fillId="4" borderId="10" xfId="1" applyNumberFormat="1" applyFont="1" applyAlignment="1">
      <alignment horizontal="center" vertical="center"/>
    </xf>
    <xf numFmtId="0" fontId="0" fillId="0" borderId="0" xfId="0"/>
    <xf numFmtId="0" fontId="18" fillId="10" borderId="14" xfId="3" applyNumberFormat="1" applyFont="1" applyFill="1" applyBorder="1" applyAlignment="1">
      <alignment horizontal="right" vertical="center" wrapText="1"/>
    </xf>
    <xf numFmtId="0" fontId="14" fillId="7" borderId="13" xfId="2" applyFont="1" applyFill="1" applyBorder="1" applyAlignment="1">
      <alignment wrapText="1"/>
    </xf>
    <xf numFmtId="0" fontId="20" fillId="11" borderId="15" xfId="4" applyNumberFormat="1" applyFont="1" applyFill="1" applyBorder="1" applyAlignment="1"/>
    <xf numFmtId="0" fontId="20" fillId="11" borderId="15" xfId="4" applyNumberFormat="1" applyFont="1" applyFill="1" applyBorder="1" applyAlignment="1">
      <alignment wrapText="1"/>
    </xf>
    <xf numFmtId="0" fontId="12" fillId="8" borderId="13" xfId="2" applyFont="1" applyFill="1" applyBorder="1" applyAlignment="1">
      <alignment wrapText="1"/>
    </xf>
    <xf numFmtId="0" fontId="12" fillId="5" borderId="13" xfId="2" applyFont="1" applyFill="1" applyBorder="1" applyAlignment="1">
      <alignment vertical="center" wrapText="1"/>
    </xf>
    <xf numFmtId="0" fontId="14" fillId="7" borderId="13" xfId="2" applyFont="1" applyFill="1" applyBorder="1" applyAlignment="1"/>
    <xf numFmtId="171" fontId="23" fillId="10" borderId="14" xfId="3" applyNumberFormat="1" applyFont="1" applyFill="1" applyBorder="1" applyAlignment="1">
      <alignment horizontal="right" vertical="center"/>
    </xf>
    <xf numFmtId="0" fontId="12" fillId="5" borderId="13" xfId="2" applyFont="1" applyFill="1" applyBorder="1" applyAlignment="1"/>
    <xf numFmtId="0" fontId="22" fillId="13" borderId="14" xfId="3" applyNumberFormat="1" applyFont="1" applyFill="1" applyBorder="1" applyAlignment="1"/>
    <xf numFmtId="2" fontId="15" fillId="10" borderId="14" xfId="3" applyNumberFormat="1" applyFont="1" applyFill="1" applyBorder="1" applyAlignment="1"/>
    <xf numFmtId="10" fontId="15" fillId="10" borderId="14" xfId="3" applyNumberFormat="1" applyFont="1" applyFill="1" applyBorder="1" applyAlignment="1"/>
    <xf numFmtId="0" fontId="7" fillId="4" borderId="10" xfId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304800" cy="314325"/>
    <xdr:sp macro="" textlink="">
      <xdr:nvSpPr>
        <xdr:cNvPr id="2" name="Shape 3" descr="Vetores de De Grão De Milho e mais imagens de Clip Art - iStock">
          <a:extLst>
            <a:ext uri="{FF2B5EF4-FFF2-40B4-BE49-F238E27FC236}">
              <a16:creationId xmlns:a16="http://schemas.microsoft.com/office/drawing/2014/main" id="{5213233E-A203-4DA5-BCF6-16B7577E8B7D}"/>
            </a:ext>
          </a:extLst>
        </xdr:cNvPr>
        <xdr:cNvSpPr/>
      </xdr:nvSpPr>
      <xdr:spPr>
        <a:xfrm>
          <a:off x="2194560" y="746760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104775</xdr:colOff>
      <xdr:row>6</xdr:row>
      <xdr:rowOff>76200</xdr:rowOff>
    </xdr:from>
    <xdr:ext cx="1190625" cy="38100"/>
    <xdr:grpSp>
      <xdr:nvGrpSpPr>
        <xdr:cNvPr id="3" name="Shape 2">
          <a:extLst>
            <a:ext uri="{FF2B5EF4-FFF2-40B4-BE49-F238E27FC236}">
              <a16:creationId xmlns:a16="http://schemas.microsoft.com/office/drawing/2014/main" id="{3673E25F-8979-4546-8EC5-90F96DA5A196}"/>
            </a:ext>
          </a:extLst>
        </xdr:cNvPr>
        <xdr:cNvGrpSpPr/>
      </xdr:nvGrpSpPr>
      <xdr:grpSpPr>
        <a:xfrm>
          <a:off x="3777615" y="1196340"/>
          <a:ext cx="1190625" cy="38100"/>
          <a:chOff x="4750688" y="3780000"/>
          <a:chExt cx="11906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C413DCB5-AD3E-ADDC-4975-4DC05A1302AC}"/>
              </a:ext>
            </a:extLst>
          </xdr:cNvPr>
          <xdr:cNvCxnSpPr/>
        </xdr:nvCxnSpPr>
        <xdr:spPr>
          <a:xfrm>
            <a:off x="4750688" y="3780000"/>
            <a:ext cx="1190625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8</xdr:col>
      <xdr:colOff>838200</xdr:colOff>
      <xdr:row>0</xdr:row>
      <xdr:rowOff>-6283651</xdr:rowOff>
    </xdr:from>
    <xdr:ext cx="552450" cy="0"/>
    <xdr:grpSp>
      <xdr:nvGrpSpPr>
        <xdr:cNvPr id="5" name="Shape 2">
          <a:extLst>
            <a:ext uri="{FF2B5EF4-FFF2-40B4-BE49-F238E27FC236}">
              <a16:creationId xmlns:a16="http://schemas.microsoft.com/office/drawing/2014/main" id="{3FE7637C-1265-4D3A-8F08-DFA4F8EAB45E}"/>
            </a:ext>
          </a:extLst>
        </xdr:cNvPr>
        <xdr:cNvGrpSpPr/>
      </xdr:nvGrpSpPr>
      <xdr:grpSpPr>
        <a:xfrm>
          <a:off x="7284720" y="-6283651"/>
          <a:ext cx="552450" cy="0"/>
          <a:chOff x="5069775" y="3784763"/>
          <a:chExt cx="552450" cy="0"/>
        </a:xfrm>
      </xdr:grpSpPr>
      <xdr:cxnSp macro="">
        <xdr:nvCxnSpPr>
          <xdr:cNvPr id="6" name="Shape 11">
            <a:extLst>
              <a:ext uri="{FF2B5EF4-FFF2-40B4-BE49-F238E27FC236}">
                <a16:creationId xmlns:a16="http://schemas.microsoft.com/office/drawing/2014/main" id="{332DAC69-4683-E867-E4A0-535B4D8C632D}"/>
              </a:ext>
            </a:extLst>
          </xdr:cNvPr>
          <xdr:cNvCxnSpPr/>
        </xdr:nvCxnSpPr>
        <xdr:spPr>
          <a:xfrm flipV="1">
            <a:off x="5069775" y="3784763"/>
            <a:ext cx="55245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6</xdr:col>
      <xdr:colOff>200025</xdr:colOff>
      <xdr:row>12</xdr:row>
      <xdr:rowOff>76200</xdr:rowOff>
    </xdr:from>
    <xdr:ext cx="1181100" cy="38100"/>
    <xdr:grpSp>
      <xdr:nvGrpSpPr>
        <xdr:cNvPr id="7" name="Shape 2">
          <a:extLst>
            <a:ext uri="{FF2B5EF4-FFF2-40B4-BE49-F238E27FC236}">
              <a16:creationId xmlns:a16="http://schemas.microsoft.com/office/drawing/2014/main" id="{22A4FA82-1AEE-4B45-A24E-5AA66FF4C52A}"/>
            </a:ext>
          </a:extLst>
        </xdr:cNvPr>
        <xdr:cNvGrpSpPr/>
      </xdr:nvGrpSpPr>
      <xdr:grpSpPr>
        <a:xfrm>
          <a:off x="4665345" y="2339340"/>
          <a:ext cx="1181100" cy="38100"/>
          <a:chOff x="4755450" y="3780000"/>
          <a:chExt cx="1181100" cy="0"/>
        </a:xfrm>
      </xdr:grpSpPr>
      <xdr:cxnSp macro="">
        <xdr:nvCxnSpPr>
          <xdr:cNvPr id="8" name="Shape 12">
            <a:extLst>
              <a:ext uri="{FF2B5EF4-FFF2-40B4-BE49-F238E27FC236}">
                <a16:creationId xmlns:a16="http://schemas.microsoft.com/office/drawing/2014/main" id="{011D48AD-0869-FCD1-C0FF-78F211E18678}"/>
              </a:ext>
            </a:extLst>
          </xdr:cNvPr>
          <xdr:cNvCxnSpPr/>
        </xdr:nvCxnSpPr>
        <xdr:spPr>
          <a:xfrm>
            <a:off x="4755450" y="3780000"/>
            <a:ext cx="118110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3</xdr:col>
      <xdr:colOff>476250</xdr:colOff>
      <xdr:row>8</xdr:row>
      <xdr:rowOff>180975</xdr:rowOff>
    </xdr:from>
    <xdr:ext cx="38100" cy="485775"/>
    <xdr:grpSp>
      <xdr:nvGrpSpPr>
        <xdr:cNvPr id="9" name="Shape 2">
          <a:extLst>
            <a:ext uri="{FF2B5EF4-FFF2-40B4-BE49-F238E27FC236}">
              <a16:creationId xmlns:a16="http://schemas.microsoft.com/office/drawing/2014/main" id="{846757AB-9A7D-4C93-8366-A19D9B745D4C}"/>
            </a:ext>
          </a:extLst>
        </xdr:cNvPr>
        <xdr:cNvGrpSpPr/>
      </xdr:nvGrpSpPr>
      <xdr:grpSpPr>
        <a:xfrm>
          <a:off x="2670810" y="1682115"/>
          <a:ext cx="38100" cy="485775"/>
          <a:chOff x="5346000" y="3537113"/>
          <a:chExt cx="0" cy="485775"/>
        </a:xfrm>
      </xdr:grpSpPr>
      <xdr:cxnSp macro="">
        <xdr:nvCxnSpPr>
          <xdr:cNvPr id="10" name="Shape 13">
            <a:extLst>
              <a:ext uri="{FF2B5EF4-FFF2-40B4-BE49-F238E27FC236}">
                <a16:creationId xmlns:a16="http://schemas.microsoft.com/office/drawing/2014/main" id="{F9F3F2E8-1FBD-6593-1865-CB44A4EA7D93}"/>
              </a:ext>
            </a:extLst>
          </xdr:cNvPr>
          <xdr:cNvCxnSpPr/>
        </xdr:nvCxnSpPr>
        <xdr:spPr>
          <a:xfrm>
            <a:off x="5346000" y="3537113"/>
            <a:ext cx="0" cy="485775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triangle" w="med" len="med"/>
          </a:ln>
        </xdr:spPr>
      </xdr:cxnSp>
    </xdr:grpSp>
    <xdr:clientData fLocksWithSheet="0"/>
  </xdr:oneCellAnchor>
  <xdr:oneCellAnchor>
    <xdr:from>
      <xdr:col>0</xdr:col>
      <xdr:colOff>0</xdr:colOff>
      <xdr:row>0</xdr:row>
      <xdr:rowOff>114300</xdr:rowOff>
    </xdr:from>
    <xdr:ext cx="1609725" cy="2162175"/>
    <xdr:pic>
      <xdr:nvPicPr>
        <xdr:cNvPr id="11" name="image3.png">
          <a:extLst>
            <a:ext uri="{FF2B5EF4-FFF2-40B4-BE49-F238E27FC236}">
              <a16:creationId xmlns:a16="http://schemas.microsoft.com/office/drawing/2014/main" id="{2C861FE5-3E37-4630-82B5-E0D45A471F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4300"/>
          <a:ext cx="1609725" cy="21621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116205</xdr:rowOff>
    </xdr:to>
    <xdr:pic>
      <xdr:nvPicPr>
        <xdr:cNvPr id="12" name="Shape 3" descr="Vetores de De Grão De Milho e mais imagens de Clip Art - iStock">
          <a:extLst>
            <a:ext uri="{FF2B5EF4-FFF2-40B4-BE49-F238E27FC236}">
              <a16:creationId xmlns:a16="http://schemas.microsoft.com/office/drawing/2014/main" id="{B2B9A8EF-2F66-498E-879C-E38BE77428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74676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114300</xdr:rowOff>
    </xdr:from>
    <xdr:to>
      <xdr:col>2</xdr:col>
      <xdr:colOff>85725</xdr:colOff>
      <xdr:row>11</xdr:row>
      <xdr:rowOff>81915</xdr:rowOff>
    </xdr:to>
    <xdr:pic>
      <xdr:nvPicPr>
        <xdr:cNvPr id="13" name="image3.png">
          <a:extLst>
            <a:ext uri="{FF2B5EF4-FFF2-40B4-BE49-F238E27FC236}">
              <a16:creationId xmlns:a16="http://schemas.microsoft.com/office/drawing/2014/main" id="{8D1B4E2E-5F56-465A-8203-AA56B3AF8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1655445" cy="2055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3</xdr:col>
      <xdr:colOff>0</xdr:colOff>
      <xdr:row>4</xdr:row>
      <xdr:rowOff>0</xdr:rowOff>
    </xdr:from>
    <xdr:to>
      <xdr:col>3</xdr:col>
      <xdr:colOff>304800</xdr:colOff>
      <xdr:row>5</xdr:row>
      <xdr:rowOff>116205</xdr:rowOff>
    </xdr:to>
    <xdr:pic>
      <xdr:nvPicPr>
        <xdr:cNvPr id="14" name="Picture 6" descr="Vetores de De Grão De Milho e mais imagens de Clip Art - iStock">
          <a:extLst>
            <a:ext uri="{FF2B5EF4-FFF2-40B4-BE49-F238E27FC236}">
              <a16:creationId xmlns:a16="http://schemas.microsoft.com/office/drawing/2014/main" id="{17B15152-4303-46FD-B972-FDD95B22BC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746760"/>
          <a:ext cx="304800" cy="306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114300</xdr:rowOff>
    </xdr:from>
    <xdr:to>
      <xdr:col>2</xdr:col>
      <xdr:colOff>85725</xdr:colOff>
      <xdr:row>11</xdr:row>
      <xdr:rowOff>81915</xdr:rowOff>
    </xdr:to>
    <xdr:pic>
      <xdr:nvPicPr>
        <xdr:cNvPr id="15" name="Picture 10">
          <a:extLst>
            <a:ext uri="{FF2B5EF4-FFF2-40B4-BE49-F238E27FC236}">
              <a16:creationId xmlns:a16="http://schemas.microsoft.com/office/drawing/2014/main" id="{B7D24273-BEDC-481D-8C23-95282211AE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1655445" cy="2055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7FF4-D52B-4119-BD2F-BD18CDAB9AF5}">
  <dimension ref="A1:AU1000"/>
  <sheetViews>
    <sheetView showGridLines="0" tabSelected="1" workbookViewId="0"/>
  </sheetViews>
  <sheetFormatPr defaultColWidth="14.44140625" defaultRowHeight="15" customHeight="1" x14ac:dyDescent="0.3"/>
  <cols>
    <col min="1" max="2" width="11.44140625" customWidth="1"/>
    <col min="3" max="3" width="9.109375" customWidth="1"/>
    <col min="4" max="4" width="11.6640625" customWidth="1"/>
    <col min="5" max="5" width="9.88671875" customWidth="1"/>
    <col min="6" max="6" width="11.5546875" customWidth="1"/>
    <col min="7" max="7" width="12.33203125" customWidth="1"/>
    <col min="8" max="8" width="16.5546875" customWidth="1"/>
    <col min="9" max="9" width="13.109375" customWidth="1"/>
    <col min="10" max="10" width="7.109375" customWidth="1"/>
    <col min="11" max="11" width="10.6640625" customWidth="1"/>
    <col min="12" max="12" width="7.109375" customWidth="1"/>
    <col min="13" max="13" width="9.5546875" customWidth="1"/>
    <col min="14" max="14" width="6.109375" customWidth="1"/>
    <col min="15" max="15" width="17.5546875" customWidth="1"/>
    <col min="16" max="16" width="7.33203125" customWidth="1"/>
    <col min="17" max="17" width="13.109375" customWidth="1"/>
    <col min="18" max="18" width="2" customWidth="1"/>
    <col min="19" max="19" width="13.5546875" customWidth="1"/>
    <col min="20" max="21" width="11.44140625" customWidth="1"/>
    <col min="22" max="23" width="14.44140625" customWidth="1"/>
  </cols>
  <sheetData>
    <row r="1" spans="1:47" x14ac:dyDescent="0.3">
      <c r="A1" s="1"/>
      <c r="B1" s="1"/>
      <c r="C1" s="1"/>
      <c r="D1" s="1"/>
      <c r="E1" s="2" t="s">
        <v>0</v>
      </c>
      <c r="F1" s="3">
        <v>141845.37772363794</v>
      </c>
      <c r="G1" s="4" t="s">
        <v>1</v>
      </c>
      <c r="H1" s="1"/>
      <c r="I1" s="1"/>
      <c r="J1" s="1"/>
      <c r="K1" s="1"/>
      <c r="L1" s="1" t="s">
        <v>2</v>
      </c>
      <c r="M1" s="1"/>
      <c r="N1" s="1"/>
      <c r="O1" s="1"/>
      <c r="P1" s="1" t="s">
        <v>3</v>
      </c>
      <c r="Q1" s="1"/>
      <c r="R1" s="1"/>
      <c r="S1" s="1"/>
      <c r="T1" s="1"/>
      <c r="W1" s="110" t="s">
        <v>94</v>
      </c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</row>
    <row r="2" spans="1:47" ht="14.4" x14ac:dyDescent="0.3">
      <c r="A2" s="1"/>
      <c r="B2" s="1"/>
      <c r="C2" s="1"/>
      <c r="D2" s="1"/>
      <c r="E2" s="2" t="s">
        <v>4</v>
      </c>
      <c r="F2" s="5">
        <f>+F1*83.07692-5</f>
        <v>11784072.097516451</v>
      </c>
      <c r="G2" s="4">
        <v>0.27</v>
      </c>
      <c r="H2" s="6">
        <f>+F2/360</f>
        <v>32733.533604212364</v>
      </c>
      <c r="I2" s="7">
        <f>+G2</f>
        <v>0.27</v>
      </c>
      <c r="J2" s="1"/>
      <c r="K2" s="8" t="s">
        <v>5</v>
      </c>
      <c r="L2" s="9" t="s">
        <v>6</v>
      </c>
      <c r="M2" s="8" t="s">
        <v>7</v>
      </c>
      <c r="N2" s="10" t="s">
        <v>8</v>
      </c>
      <c r="O2" s="8" t="s">
        <v>9</v>
      </c>
      <c r="P2" s="10" t="s">
        <v>8</v>
      </c>
      <c r="Q2" s="8" t="s">
        <v>36</v>
      </c>
      <c r="R2" s="9" t="s">
        <v>6</v>
      </c>
      <c r="S2" s="8" t="s">
        <v>10</v>
      </c>
      <c r="T2" s="1"/>
      <c r="W2" s="111" t="s">
        <v>95</v>
      </c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</row>
    <row r="3" spans="1:47" ht="14.4" x14ac:dyDescent="0.3">
      <c r="A3" s="1"/>
      <c r="B3" s="1"/>
      <c r="C3" s="1"/>
      <c r="D3" s="1"/>
      <c r="E3" s="1"/>
      <c r="F3" s="5"/>
      <c r="G3" s="1"/>
      <c r="H3" s="1"/>
      <c r="I3" s="1"/>
      <c r="J3" s="1"/>
      <c r="K3" s="9" t="s">
        <v>64</v>
      </c>
      <c r="L3" s="9" t="s">
        <v>6</v>
      </c>
      <c r="M3" s="9" t="s">
        <v>65</v>
      </c>
      <c r="N3" s="10" t="s">
        <v>8</v>
      </c>
      <c r="O3" s="9" t="s">
        <v>66</v>
      </c>
      <c r="P3" s="10" t="s">
        <v>8</v>
      </c>
      <c r="Q3" s="9" t="s">
        <v>67</v>
      </c>
      <c r="R3" s="9" t="s">
        <v>6</v>
      </c>
      <c r="S3" s="9" t="s">
        <v>68</v>
      </c>
      <c r="T3" s="1"/>
      <c r="W3" s="95" t="s">
        <v>96</v>
      </c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</row>
    <row r="4" spans="1:47" ht="14.4" x14ac:dyDescent="0.3">
      <c r="A4" s="1"/>
      <c r="B4" s="1"/>
      <c r="C4" s="1"/>
      <c r="E4" s="1"/>
      <c r="F4" s="1"/>
      <c r="G4" s="1"/>
      <c r="H4" s="1"/>
      <c r="I4" s="1"/>
      <c r="J4" s="1"/>
      <c r="K4" s="14">
        <v>342.29</v>
      </c>
      <c r="L4" s="9" t="s">
        <v>6</v>
      </c>
      <c r="M4" s="14">
        <v>18</v>
      </c>
      <c r="N4" s="10" t="s">
        <v>8</v>
      </c>
      <c r="O4" s="14">
        <f>+M4+K4</f>
        <v>360.29</v>
      </c>
      <c r="P4" s="10" t="s">
        <v>8</v>
      </c>
      <c r="Q4" s="14">
        <v>184</v>
      </c>
      <c r="R4" s="9" t="s">
        <v>6</v>
      </c>
      <c r="S4" s="14">
        <f>+O4-Q4</f>
        <v>176.29000000000002</v>
      </c>
      <c r="T4" s="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</row>
    <row r="5" spans="1:47" x14ac:dyDescent="0.3">
      <c r="A5" s="1"/>
      <c r="B5" s="1"/>
      <c r="C5" s="2"/>
      <c r="D5" s="1"/>
      <c r="E5" s="1"/>
      <c r="F5" s="1"/>
      <c r="G5" s="1"/>
      <c r="H5" s="1"/>
      <c r="I5" s="1"/>
      <c r="J5" s="1"/>
      <c r="K5" s="15">
        <f>+K7</f>
        <v>1649770.0936523033</v>
      </c>
      <c r="L5" s="16" t="s">
        <v>6</v>
      </c>
      <c r="M5" s="15">
        <f>+K5*M4/K4</f>
        <v>86756.43952713038</v>
      </c>
      <c r="N5" s="1" t="s">
        <v>8</v>
      </c>
      <c r="O5" s="15">
        <f>+K5*O4/K4</f>
        <v>1736526.5331794336</v>
      </c>
      <c r="P5" s="1" t="s">
        <v>8</v>
      </c>
      <c r="Q5" s="15">
        <f>+O5*Q4/O4</f>
        <v>886843.60405511048</v>
      </c>
      <c r="R5" s="16" t="s">
        <v>6</v>
      </c>
      <c r="S5" s="15">
        <f>+O5-Q5</f>
        <v>849682.92912432307</v>
      </c>
      <c r="T5" s="1"/>
      <c r="W5" s="95" t="s">
        <v>97</v>
      </c>
      <c r="X5" s="95"/>
      <c r="Y5" s="95"/>
      <c r="Z5" s="95"/>
      <c r="AA5" s="89">
        <f>'Etanol de Cana de Açúcar'!F37</f>
        <v>200</v>
      </c>
      <c r="AB5" s="112" t="s">
        <v>98</v>
      </c>
      <c r="AC5" s="94"/>
      <c r="AD5" s="94"/>
      <c r="AE5" s="94"/>
      <c r="AF5" s="94"/>
      <c r="AG5" s="94"/>
      <c r="AH5" s="94"/>
      <c r="AI5" s="94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</row>
    <row r="6" spans="1:47" x14ac:dyDescent="0.3">
      <c r="A6" s="1"/>
      <c r="B6" s="1"/>
      <c r="C6" s="1"/>
      <c r="D6" s="2" t="s">
        <v>13</v>
      </c>
      <c r="E6" s="17">
        <f>1-G2</f>
        <v>0.73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W6" s="95" t="s">
        <v>99</v>
      </c>
      <c r="X6" s="95"/>
      <c r="Y6" s="95"/>
      <c r="Z6" s="95"/>
      <c r="AA6" s="89">
        <f>'Etanol de Cana de Açúcar'!F36</f>
        <v>39.85786725178906</v>
      </c>
      <c r="AB6" s="112" t="s">
        <v>100</v>
      </c>
      <c r="AC6" s="94"/>
      <c r="AD6" s="94"/>
      <c r="AE6" s="94"/>
      <c r="AF6" s="94"/>
      <c r="AG6" s="94"/>
      <c r="AH6" s="94"/>
      <c r="AI6" s="94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</row>
    <row r="7" spans="1:47" x14ac:dyDescent="0.3">
      <c r="A7" s="1"/>
      <c r="B7" s="1"/>
      <c r="C7" s="2"/>
      <c r="D7" s="2" t="s">
        <v>14</v>
      </c>
      <c r="E7" s="17">
        <f>G2-E8</f>
        <v>0.14000000000000001</v>
      </c>
      <c r="F7" s="1"/>
      <c r="G7" s="1"/>
      <c r="H7" s="5">
        <f>+E7*F2</f>
        <v>1649770.0936523033</v>
      </c>
      <c r="I7" s="18" t="s">
        <v>15</v>
      </c>
      <c r="J7" s="1" t="s">
        <v>8</v>
      </c>
      <c r="K7" s="15">
        <f>+H7</f>
        <v>1649770.0936523033</v>
      </c>
      <c r="L7" s="15" t="s">
        <v>6</v>
      </c>
      <c r="M7" s="15">
        <f>+K7*M5/K5</f>
        <v>86756.43952713038</v>
      </c>
      <c r="N7" s="1" t="s">
        <v>8</v>
      </c>
      <c r="O7" s="15">
        <f>+K7*O5/K5</f>
        <v>1736526.5331794336</v>
      </c>
      <c r="P7" s="1" t="s">
        <v>8</v>
      </c>
      <c r="Q7" s="19">
        <f>Q5/0.811/0.96</f>
        <v>1139081.8999885819</v>
      </c>
      <c r="R7" s="16" t="s">
        <v>6</v>
      </c>
      <c r="S7" s="15">
        <f>+S5</f>
        <v>849682.92912432307</v>
      </c>
      <c r="T7" s="1"/>
      <c r="W7" s="95" t="s">
        <v>101</v>
      </c>
      <c r="X7" s="95"/>
      <c r="Y7" s="95"/>
      <c r="Z7" s="95"/>
      <c r="AA7" s="90">
        <f>'Etanol de Cana de Açúcar'!F47/100</f>
        <v>0.34</v>
      </c>
      <c r="AB7" s="112" t="s">
        <v>102</v>
      </c>
      <c r="AC7" s="94"/>
      <c r="AD7" s="94"/>
      <c r="AE7" s="94"/>
      <c r="AF7" s="94"/>
      <c r="AG7" s="94"/>
      <c r="AH7" s="94"/>
      <c r="AI7" s="94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</row>
    <row r="8" spans="1:47" x14ac:dyDescent="0.3">
      <c r="A8" s="1"/>
      <c r="B8" s="1"/>
      <c r="C8" s="20"/>
      <c r="D8" s="20" t="s">
        <v>16</v>
      </c>
      <c r="E8" s="21">
        <v>0.13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W8" s="95" t="s">
        <v>103</v>
      </c>
      <c r="X8" s="95"/>
      <c r="Y8" s="95"/>
      <c r="Z8" s="95"/>
      <c r="AA8" s="74">
        <v>15</v>
      </c>
      <c r="AB8" s="94" t="s">
        <v>104</v>
      </c>
      <c r="AC8" s="94"/>
      <c r="AD8" s="94"/>
      <c r="AE8" s="94"/>
      <c r="AF8" s="94"/>
      <c r="AG8" s="94"/>
      <c r="AH8" s="94"/>
      <c r="AI8" s="94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</row>
    <row r="9" spans="1:47" x14ac:dyDescent="0.3">
      <c r="A9" s="1"/>
      <c r="B9" s="1"/>
      <c r="C9" s="2"/>
      <c r="D9" s="1"/>
      <c r="E9" s="1"/>
      <c r="F9" s="1"/>
      <c r="G9" s="1"/>
      <c r="H9" s="1"/>
      <c r="I9" s="1" t="s">
        <v>17</v>
      </c>
      <c r="J9" s="1" t="s">
        <v>8</v>
      </c>
      <c r="K9" s="22">
        <v>0.9</v>
      </c>
      <c r="L9" s="15" t="s">
        <v>6</v>
      </c>
      <c r="M9" s="1" t="s">
        <v>18</v>
      </c>
      <c r="N9" s="1" t="s">
        <v>8</v>
      </c>
      <c r="O9" s="23">
        <f>K9-2.21%</f>
        <v>0.87790000000000001</v>
      </c>
      <c r="P9" s="1" t="s">
        <v>8</v>
      </c>
      <c r="Q9" s="23">
        <f>+O9</f>
        <v>0.87790000000000001</v>
      </c>
      <c r="R9" s="16" t="s">
        <v>6</v>
      </c>
      <c r="S9" s="1" t="s">
        <v>18</v>
      </c>
      <c r="T9" s="1"/>
      <c r="W9" s="95" t="s">
        <v>105</v>
      </c>
      <c r="X9" s="95"/>
      <c r="Y9" s="95"/>
      <c r="Z9" s="95"/>
      <c r="AA9" s="75">
        <v>0.1</v>
      </c>
      <c r="AB9" s="94" t="s">
        <v>106</v>
      </c>
      <c r="AC9" s="94"/>
      <c r="AD9" s="94"/>
      <c r="AE9" s="94"/>
      <c r="AF9" s="94"/>
      <c r="AG9" s="94"/>
      <c r="AH9" s="94"/>
      <c r="AI9" s="94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</row>
    <row r="10" spans="1:47" x14ac:dyDescent="0.3">
      <c r="A10" s="1"/>
      <c r="B10" s="1"/>
      <c r="C10" s="1"/>
      <c r="D10" s="1"/>
      <c r="E10" s="1"/>
      <c r="F10" s="1"/>
      <c r="G10" s="1"/>
      <c r="H10" s="1"/>
      <c r="I10" s="1" t="s">
        <v>17</v>
      </c>
      <c r="J10" s="1" t="s">
        <v>8</v>
      </c>
      <c r="K10" s="15">
        <f>+K9*K7</f>
        <v>1484793.084287073</v>
      </c>
      <c r="L10" s="15" t="s">
        <v>6</v>
      </c>
      <c r="M10" s="1" t="s">
        <v>18</v>
      </c>
      <c r="N10" s="1" t="s">
        <v>8</v>
      </c>
      <c r="O10" s="15">
        <f>+K10*O7/K7</f>
        <v>1562873.8798614901</v>
      </c>
      <c r="P10" s="1" t="s">
        <v>8</v>
      </c>
      <c r="Q10" s="19">
        <f>Q9*Q7</f>
        <v>999999.99999997602</v>
      </c>
      <c r="R10" s="16" t="s">
        <v>6</v>
      </c>
      <c r="S10" s="1" t="s">
        <v>18</v>
      </c>
      <c r="T10" s="1"/>
      <c r="W10" s="95" t="s">
        <v>107</v>
      </c>
      <c r="X10" s="95"/>
      <c r="Y10" s="95"/>
      <c r="Z10" s="95"/>
      <c r="AA10" s="72">
        <f>AA64</f>
        <v>27.063684779176491</v>
      </c>
      <c r="AB10" s="94" t="s">
        <v>108</v>
      </c>
      <c r="AC10" s="94"/>
      <c r="AD10" s="94"/>
      <c r="AE10" s="94"/>
      <c r="AF10" s="94"/>
      <c r="AG10" s="94"/>
      <c r="AH10" s="94"/>
      <c r="AI10" s="94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</row>
    <row r="11" spans="1:47" x14ac:dyDescent="0.3">
      <c r="A11" s="1"/>
      <c r="B11" s="1"/>
      <c r="C11" s="2"/>
      <c r="D11" s="2"/>
      <c r="E11" s="17"/>
      <c r="F11" s="1"/>
      <c r="G11" s="1"/>
      <c r="H11" s="1"/>
      <c r="I11" s="1"/>
      <c r="J11" s="1"/>
      <c r="K11" s="1"/>
      <c r="L11" s="1"/>
      <c r="M11" s="24"/>
      <c r="N11" s="1"/>
      <c r="O11" s="1"/>
      <c r="P11" s="1"/>
      <c r="Q11" s="1"/>
      <c r="R11" s="1"/>
      <c r="S11" s="1"/>
      <c r="T11" s="1"/>
      <c r="W11" s="95" t="s">
        <v>109</v>
      </c>
      <c r="X11" s="95"/>
      <c r="Y11" s="95"/>
      <c r="Z11" s="95"/>
      <c r="AA11" s="72">
        <f>AA5*'Etanol de Cana de Açúcar'!V66</f>
        <v>2</v>
      </c>
      <c r="AB11" s="94" t="s">
        <v>110</v>
      </c>
      <c r="AC11" s="94"/>
      <c r="AD11" s="94"/>
      <c r="AE11" s="94"/>
      <c r="AF11" s="94"/>
      <c r="AG11" s="94"/>
      <c r="AH11" s="94"/>
      <c r="AI11" s="94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</row>
    <row r="12" spans="1:47" x14ac:dyDescent="0.3">
      <c r="A12" s="1"/>
      <c r="B12" s="1"/>
      <c r="C12" s="1"/>
      <c r="D12" s="1"/>
      <c r="E12" s="1"/>
      <c r="F12" s="1"/>
      <c r="G12" s="1"/>
      <c r="H12" s="1"/>
      <c r="I12" s="24"/>
      <c r="J12" s="1"/>
      <c r="K12" s="1"/>
      <c r="L12" s="25"/>
      <c r="M12" s="26"/>
      <c r="N12" s="27"/>
      <c r="O12" s="21"/>
      <c r="P12" s="1"/>
      <c r="Q12" s="19"/>
      <c r="R12" s="1"/>
      <c r="S12" s="1"/>
      <c r="T12" s="1"/>
      <c r="W12" s="95" t="s">
        <v>111</v>
      </c>
      <c r="X12" s="95"/>
      <c r="Y12" s="95"/>
      <c r="Z12" s="95"/>
      <c r="AA12" s="73">
        <v>0</v>
      </c>
      <c r="AB12" s="94" t="s">
        <v>112</v>
      </c>
      <c r="AC12" s="94"/>
      <c r="AD12" s="94"/>
      <c r="AE12" s="94"/>
      <c r="AF12" s="94"/>
      <c r="AG12" s="94"/>
      <c r="AH12" s="94"/>
      <c r="AI12" s="94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</row>
    <row r="13" spans="1:47" ht="14.4" x14ac:dyDescent="0.3">
      <c r="A13" s="1"/>
      <c r="B13" s="1"/>
      <c r="C13" s="2"/>
      <c r="D13" s="2" t="s">
        <v>19</v>
      </c>
      <c r="E13" s="26">
        <f>E8*F2</f>
        <v>1531929.3726771388</v>
      </c>
      <c r="F13" s="27" t="s">
        <v>15</v>
      </c>
      <c r="G13" s="1"/>
      <c r="H13" s="1"/>
      <c r="I13" s="5" t="s">
        <v>20</v>
      </c>
      <c r="J13" s="12">
        <f>+F2*70/1000000</f>
        <v>824.88504682615167</v>
      </c>
      <c r="K13" s="18" t="s">
        <v>21</v>
      </c>
      <c r="L13" s="28"/>
      <c r="M13" s="26"/>
      <c r="N13" s="27"/>
      <c r="O13" s="29"/>
      <c r="P13" s="1"/>
      <c r="Q13" s="1"/>
      <c r="R13" s="1"/>
      <c r="S13" s="1"/>
      <c r="T13" s="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</row>
    <row r="14" spans="1:47" ht="14.4" x14ac:dyDescent="0.3">
      <c r="A14" s="1"/>
      <c r="B14" s="1"/>
      <c r="C14" s="2"/>
      <c r="D14" s="2"/>
      <c r="E14" s="17"/>
      <c r="F14" s="1"/>
      <c r="G14" s="1"/>
      <c r="H14" s="1"/>
      <c r="I14" s="3" t="s">
        <v>22</v>
      </c>
      <c r="J14" s="30">
        <f>30*F2/1000000</f>
        <v>353.52216292549355</v>
      </c>
      <c r="K14" s="31" t="s">
        <v>21</v>
      </c>
      <c r="L14" s="11"/>
      <c r="M14" s="1"/>
      <c r="N14" s="1"/>
      <c r="O14" s="1"/>
      <c r="P14" s="1"/>
      <c r="Q14" s="1"/>
      <c r="R14" s="1"/>
      <c r="S14" s="1"/>
      <c r="T14" s="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</row>
    <row r="15" spans="1:47" ht="14.4" x14ac:dyDescent="0.3">
      <c r="A15" s="1"/>
      <c r="B15" s="1"/>
      <c r="C15" s="1"/>
      <c r="D15" s="2"/>
      <c r="E15" s="17"/>
      <c r="F15" s="1"/>
      <c r="G15" s="5"/>
      <c r="H15" s="18"/>
      <c r="I15" s="5" t="s">
        <v>23</v>
      </c>
      <c r="J15" s="12">
        <f>+J13-J14</f>
        <v>471.36288390065812</v>
      </c>
      <c r="K15" s="18" t="s">
        <v>21</v>
      </c>
      <c r="L15" s="1"/>
      <c r="M15" s="1"/>
      <c r="N15" s="1"/>
      <c r="O15" s="1"/>
      <c r="P15" s="1"/>
      <c r="Q15" s="1"/>
      <c r="R15" s="1"/>
      <c r="S15" s="1"/>
      <c r="T15" s="1"/>
      <c r="W15" s="113" t="s">
        <v>113</v>
      </c>
      <c r="X15" s="113"/>
      <c r="Y15" s="113"/>
      <c r="Z15" s="113"/>
      <c r="AA15" s="80">
        <f>IFERROR(IRR(AH30:AH50),"Sem TIR")</f>
        <v>0.11309099095840369</v>
      </c>
      <c r="AB15" s="71"/>
      <c r="AC15" s="114" t="s">
        <v>114</v>
      </c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</row>
    <row r="16" spans="1:47" thickBot="1" x14ac:dyDescent="0.35">
      <c r="A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W16" s="113" t="s">
        <v>115</v>
      </c>
      <c r="X16" s="113"/>
      <c r="Y16" s="113"/>
      <c r="Z16" s="113"/>
      <c r="AA16" s="81">
        <f>NPV($AA$9,AH31:AH50)+AH30</f>
        <v>20.809683646122608</v>
      </c>
      <c r="AB16" s="71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</row>
    <row r="17" spans="1:47" ht="15.6" thickBot="1" x14ac:dyDescent="0.35">
      <c r="A17" s="1"/>
      <c r="B17" s="32" t="s">
        <v>24</v>
      </c>
      <c r="C17" s="52">
        <v>5</v>
      </c>
      <c r="D17" s="33" t="s">
        <v>25</v>
      </c>
      <c r="F17" s="1"/>
      <c r="G17" s="1"/>
      <c r="H17" s="34" t="s">
        <v>26</v>
      </c>
      <c r="I17" s="34" t="s">
        <v>69</v>
      </c>
      <c r="J17" s="35">
        <v>165</v>
      </c>
      <c r="K17" s="34" t="s">
        <v>27</v>
      </c>
      <c r="L17" s="1"/>
      <c r="M17" s="36"/>
      <c r="N17" s="1"/>
      <c r="O17" s="1"/>
      <c r="P17" s="1"/>
      <c r="Q17" s="1"/>
      <c r="R17" s="1"/>
      <c r="S17" s="1"/>
      <c r="T17" s="1"/>
      <c r="W17" s="113" t="s">
        <v>116</v>
      </c>
      <c r="X17" s="113"/>
      <c r="Y17" s="113"/>
      <c r="Z17" s="113"/>
      <c r="AA17" s="81">
        <f>IF(COUNT(AR31:AR50)=0,"Não recupera em 20 anos",SUM(AR31:AR50))</f>
        <v>7.8311939464621769</v>
      </c>
      <c r="AB17" s="71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</row>
    <row r="18" spans="1:47" ht="15.6" thickBot="1" x14ac:dyDescent="0.35">
      <c r="A18" s="1"/>
      <c r="B18" s="1"/>
      <c r="C18" s="1"/>
      <c r="D18" s="1"/>
      <c r="E18" s="1"/>
      <c r="F18" s="1"/>
      <c r="G18" s="1"/>
      <c r="H18" s="1" t="str">
        <f>H17</f>
        <v>Sugar Cane</v>
      </c>
      <c r="I18" s="1" t="s">
        <v>69</v>
      </c>
      <c r="J18" s="37">
        <f>+J17/C17</f>
        <v>33</v>
      </c>
      <c r="K18" s="1" t="s">
        <v>28</v>
      </c>
      <c r="L18" s="1" t="s">
        <v>29</v>
      </c>
      <c r="M18" s="38">
        <f>+J18*F2/1000000</f>
        <v>388.87437921804292</v>
      </c>
      <c r="N18" s="18" t="s">
        <v>12</v>
      </c>
      <c r="O18" s="1"/>
      <c r="P18" s="1"/>
      <c r="Q18" s="1"/>
      <c r="R18" s="1"/>
      <c r="S18" s="1"/>
      <c r="T18" s="1"/>
      <c r="W18" s="113" t="s">
        <v>117</v>
      </c>
      <c r="X18" s="113"/>
      <c r="Y18" s="113"/>
      <c r="Z18" s="113"/>
      <c r="AA18" s="81">
        <f>IF(COUNT(AS31:AS50)=0,"Não recupera em 20 anos",SUM(AS31:AS50))</f>
        <v>16.09103323731016</v>
      </c>
      <c r="AB18" s="71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</row>
    <row r="19" spans="1:47" ht="15.6" thickBot="1" x14ac:dyDescent="0.35">
      <c r="A19" s="1"/>
      <c r="B19" s="1"/>
      <c r="C19" s="39" t="s">
        <v>30</v>
      </c>
      <c r="D19" s="53">
        <v>2.6</v>
      </c>
      <c r="E19" s="40" t="s">
        <v>31</v>
      </c>
      <c r="F19" s="41">
        <f>+M20</f>
        <v>519.99999999998749</v>
      </c>
      <c r="G19" s="42" t="s">
        <v>12</v>
      </c>
      <c r="H19" s="1" t="s">
        <v>32</v>
      </c>
      <c r="I19" s="1" t="s">
        <v>69</v>
      </c>
      <c r="J19" s="43">
        <v>40</v>
      </c>
      <c r="K19" s="34" t="s">
        <v>33</v>
      </c>
      <c r="L19" s="1" t="s">
        <v>29</v>
      </c>
      <c r="M19" s="38">
        <f>J19*(J15)/1000</f>
        <v>18.854515356026326</v>
      </c>
      <c r="N19" s="18" t="s">
        <v>34</v>
      </c>
      <c r="O19" s="1"/>
      <c r="P19" s="44">
        <f>+M19/SUM($M$19:$M$20)</f>
        <v>3.4989992323938131E-2</v>
      </c>
      <c r="Q19" s="1"/>
      <c r="R19" s="1"/>
      <c r="S19" s="1"/>
      <c r="T19" s="1"/>
      <c r="W19" s="113" t="s">
        <v>118</v>
      </c>
      <c r="X19" s="113"/>
      <c r="Y19" s="113"/>
      <c r="Z19" s="113"/>
      <c r="AA19" s="80">
        <f>IF(AA5&gt;0,AA6/AA5,"Não aplicável")</f>
        <v>0.19928933625894529</v>
      </c>
      <c r="AB19" s="71"/>
      <c r="AC19" s="114" t="s">
        <v>119</v>
      </c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</row>
    <row r="20" spans="1:47" ht="15.6" thickBot="1" x14ac:dyDescent="0.35">
      <c r="A20" s="1"/>
      <c r="B20" s="1"/>
      <c r="C20" s="39" t="s">
        <v>35</v>
      </c>
      <c r="D20" s="45">
        <f>F20*1000*C17/Q10</f>
        <v>0.55061134443092274</v>
      </c>
      <c r="E20" s="18" t="s">
        <v>31</v>
      </c>
      <c r="F20" s="46">
        <f>SUM(F26:F33)</f>
        <v>110.1222688861819</v>
      </c>
      <c r="G20" s="47" t="s">
        <v>12</v>
      </c>
      <c r="H20" s="1" t="s">
        <v>36</v>
      </c>
      <c r="I20" s="1" t="s">
        <v>69</v>
      </c>
      <c r="J20" s="37">
        <f>+D19*1000/C17</f>
        <v>520</v>
      </c>
      <c r="K20" s="1" t="s">
        <v>70</v>
      </c>
      <c r="L20" s="1" t="s">
        <v>29</v>
      </c>
      <c r="M20" s="38">
        <f>+J20*Q10/1000000</f>
        <v>519.99999999998749</v>
      </c>
      <c r="N20" s="18" t="s">
        <v>34</v>
      </c>
      <c r="O20" s="1"/>
      <c r="P20" s="44">
        <f>+M20/SUM($M$19:$M$20)</f>
        <v>0.96501000767606182</v>
      </c>
      <c r="Q20" s="1"/>
      <c r="R20" s="1"/>
      <c r="S20" s="1"/>
      <c r="T20" s="1"/>
      <c r="W20" s="113" t="s">
        <v>120</v>
      </c>
      <c r="X20" s="113"/>
      <c r="Y20" s="113"/>
      <c r="Z20" s="113"/>
      <c r="AA20" s="80">
        <f>AP31</f>
        <v>7.9071491275842107E-2</v>
      </c>
      <c r="AB20" s="71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</row>
    <row r="21" spans="1:47" ht="15.75" customHeight="1" x14ac:dyDescent="0.3">
      <c r="A21" s="1"/>
      <c r="B21" s="1"/>
      <c r="C21" s="39" t="s">
        <v>37</v>
      </c>
      <c r="D21" s="53">
        <f>D19-D20</f>
        <v>2.0493886555690772</v>
      </c>
      <c r="E21" s="18" t="s">
        <v>31</v>
      </c>
      <c r="H21" s="1"/>
      <c r="I21" s="1"/>
      <c r="J21" s="1"/>
      <c r="K21" s="1"/>
      <c r="L21" s="1"/>
      <c r="M21" s="36"/>
      <c r="N21" s="1"/>
      <c r="O21" s="1"/>
      <c r="P21" s="1"/>
      <c r="Q21" s="1"/>
      <c r="R21" s="1"/>
      <c r="S21" s="1"/>
      <c r="T21" s="1"/>
      <c r="W21" s="113" t="s">
        <v>121</v>
      </c>
      <c r="X21" s="113"/>
      <c r="Y21" s="113"/>
      <c r="Z21" s="113"/>
      <c r="AA21" s="80">
        <f>AQ31</f>
        <v>0.11980528981188197</v>
      </c>
      <c r="AB21" s="71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</row>
    <row r="22" spans="1:47" ht="15.75" customHeight="1" thickBot="1" x14ac:dyDescent="0.35">
      <c r="A22" s="1"/>
      <c r="B22" s="1"/>
      <c r="C22" s="1"/>
      <c r="D22" s="1"/>
      <c r="E22" s="1"/>
      <c r="H22" s="1"/>
      <c r="I22" s="1"/>
      <c r="J22" s="1"/>
      <c r="K22" s="1"/>
      <c r="L22" s="1"/>
      <c r="M22" s="36"/>
      <c r="N22" s="1"/>
      <c r="O22" s="1"/>
      <c r="P22" s="1"/>
      <c r="Q22" s="1"/>
      <c r="R22" s="1"/>
      <c r="S22" s="1"/>
      <c r="T22" s="1"/>
      <c r="W22" s="113" t="s">
        <v>122</v>
      </c>
      <c r="X22" s="113"/>
      <c r="Y22" s="113"/>
      <c r="Z22" s="113"/>
      <c r="AA22" s="80">
        <f>AT31</f>
        <v>7.9071491275842107E-2</v>
      </c>
      <c r="AB22" s="71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</row>
    <row r="23" spans="1:47" ht="15.75" customHeight="1" thickBot="1" x14ac:dyDescent="0.35">
      <c r="A23" s="1"/>
      <c r="B23" s="1"/>
      <c r="C23" s="48" t="s">
        <v>38</v>
      </c>
      <c r="D23" s="49">
        <f>'Etanol de Cana de Açúcar'!AA15</f>
        <v>0.11309099095840369</v>
      </c>
      <c r="E23" s="1"/>
      <c r="F23" s="1"/>
      <c r="G23" s="1"/>
      <c r="H23" s="1"/>
      <c r="I23" s="1"/>
      <c r="J23" s="1"/>
      <c r="K23" s="1"/>
      <c r="L23" s="1"/>
      <c r="M23" s="36"/>
      <c r="N23" s="1"/>
      <c r="O23" s="1"/>
      <c r="P23" s="1"/>
      <c r="Q23" s="1"/>
      <c r="R23" s="1"/>
      <c r="S23" s="1"/>
      <c r="T23" s="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</row>
    <row r="24" spans="1:47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W24" s="95" t="s">
        <v>123</v>
      </c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</row>
    <row r="25" spans="1:47" ht="15.75" customHeight="1" x14ac:dyDescent="0.3">
      <c r="A25" s="1"/>
      <c r="B25" s="1"/>
      <c r="C25" s="1"/>
      <c r="D25" s="1"/>
      <c r="E25" s="2" t="s">
        <v>39</v>
      </c>
      <c r="F25" s="50">
        <f>+(M18-M19)</f>
        <v>370.01986386201656</v>
      </c>
      <c r="G25" s="18" t="s">
        <v>12</v>
      </c>
      <c r="H25" s="13">
        <f t="shared" ref="H25:H33" si="0">+F25/$F$35</f>
        <v>0.77064652032123693</v>
      </c>
      <c r="I25" s="1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W25" s="95" t="s">
        <v>124</v>
      </c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</row>
    <row r="26" spans="1:47" ht="15.75" customHeight="1" x14ac:dyDescent="0.3">
      <c r="A26" s="1"/>
      <c r="B26" s="1"/>
      <c r="C26" s="1"/>
      <c r="D26" s="1"/>
      <c r="E26" s="2" t="s">
        <v>40</v>
      </c>
      <c r="F26" s="51">
        <v>0</v>
      </c>
      <c r="G26" s="18" t="s">
        <v>12</v>
      </c>
      <c r="H26" s="13">
        <f t="shared" si="0"/>
        <v>0</v>
      </c>
      <c r="I26" s="13">
        <f>+SUM(H25:H27)</f>
        <v>0.77064652032123693</v>
      </c>
      <c r="J26" s="18" t="s">
        <v>41</v>
      </c>
      <c r="K26" s="1"/>
      <c r="L26" s="1"/>
      <c r="M26" s="1"/>
      <c r="N26" s="1"/>
      <c r="O26" s="1"/>
      <c r="P26" s="1"/>
      <c r="Q26" s="1"/>
      <c r="R26" s="1"/>
      <c r="S26" s="1"/>
      <c r="T26" s="1"/>
      <c r="W26" s="95" t="s">
        <v>125</v>
      </c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</row>
    <row r="27" spans="1:47" ht="15.75" customHeight="1" x14ac:dyDescent="0.3">
      <c r="A27" s="1"/>
      <c r="B27" s="1"/>
      <c r="C27" s="1"/>
      <c r="D27" s="23"/>
      <c r="E27" s="2" t="s">
        <v>42</v>
      </c>
      <c r="F27" s="50">
        <f>+F26*0.7</f>
        <v>0</v>
      </c>
      <c r="G27" s="18" t="s">
        <v>12</v>
      </c>
      <c r="H27" s="13">
        <f t="shared" si="0"/>
        <v>0</v>
      </c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</row>
    <row r="28" spans="1:47" ht="15.75" customHeight="1" x14ac:dyDescent="0.3">
      <c r="A28" s="1"/>
      <c r="B28" s="1"/>
      <c r="C28" s="1"/>
      <c r="D28" s="1"/>
      <c r="E28" s="2" t="s">
        <v>43</v>
      </c>
      <c r="F28" s="116">
        <f>O29*O28*13/1000</f>
        <v>13.65</v>
      </c>
      <c r="G28" s="18" t="s">
        <v>12</v>
      </c>
      <c r="H28" s="13">
        <f t="shared" si="0"/>
        <v>2.8429081867636239E-2</v>
      </c>
      <c r="I28" s="13">
        <f>+SUM(H25:H28)</f>
        <v>0.79907560218887319</v>
      </c>
      <c r="J28" s="18" t="s">
        <v>44</v>
      </c>
      <c r="K28" s="1"/>
      <c r="L28" s="1"/>
      <c r="M28" s="1"/>
      <c r="N28" s="1"/>
      <c r="O28" s="20">
        <v>500</v>
      </c>
      <c r="P28" s="31" t="s">
        <v>45</v>
      </c>
      <c r="Q28" s="34"/>
      <c r="R28" s="1"/>
      <c r="S28" s="1"/>
      <c r="T28" s="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</row>
    <row r="29" spans="1:47" ht="15.75" customHeight="1" x14ac:dyDescent="0.3">
      <c r="A29" s="1"/>
      <c r="B29" s="1"/>
      <c r="C29" s="1"/>
      <c r="D29" s="1"/>
      <c r="E29" s="2" t="s">
        <v>46</v>
      </c>
      <c r="F29" s="51">
        <v>4.8600000000000003</v>
      </c>
      <c r="G29" s="18" t="s">
        <v>12</v>
      </c>
      <c r="H29" s="13">
        <f t="shared" si="0"/>
        <v>1.0122002774850706E-2</v>
      </c>
      <c r="I29" s="23"/>
      <c r="J29" s="1"/>
      <c r="K29" s="1"/>
      <c r="L29" s="1"/>
      <c r="M29" s="1"/>
      <c r="N29" s="1"/>
      <c r="O29" s="50">
        <v>2.1</v>
      </c>
      <c r="P29" s="18" t="s">
        <v>71</v>
      </c>
      <c r="Q29" s="1"/>
      <c r="R29" s="1"/>
      <c r="S29" s="1"/>
      <c r="T29" s="1"/>
      <c r="W29" s="79" t="s">
        <v>126</v>
      </c>
      <c r="X29" s="79" t="s">
        <v>127</v>
      </c>
      <c r="Y29" s="79" t="s">
        <v>128</v>
      </c>
      <c r="Z29" s="79" t="s">
        <v>129</v>
      </c>
      <c r="AA29" s="79" t="s">
        <v>130</v>
      </c>
      <c r="AB29" s="79" t="s">
        <v>131</v>
      </c>
      <c r="AC29" s="79" t="s">
        <v>132</v>
      </c>
      <c r="AD29" s="79" t="s">
        <v>133</v>
      </c>
      <c r="AE29" s="79" t="s">
        <v>134</v>
      </c>
      <c r="AF29" s="79" t="s">
        <v>135</v>
      </c>
      <c r="AG29" s="79" t="s">
        <v>136</v>
      </c>
      <c r="AH29" s="79" t="s">
        <v>137</v>
      </c>
      <c r="AI29" s="79" t="s">
        <v>138</v>
      </c>
      <c r="AJ29" s="79" t="s">
        <v>139</v>
      </c>
      <c r="AK29" s="79" t="s">
        <v>140</v>
      </c>
      <c r="AL29" s="79" t="s">
        <v>141</v>
      </c>
      <c r="AM29" s="79" t="s">
        <v>142</v>
      </c>
      <c r="AN29" s="79" t="s">
        <v>143</v>
      </c>
      <c r="AO29" s="79" t="s">
        <v>144</v>
      </c>
      <c r="AP29" s="79" t="s">
        <v>145</v>
      </c>
      <c r="AQ29" s="79" t="s">
        <v>146</v>
      </c>
      <c r="AR29" s="79" t="s">
        <v>147</v>
      </c>
      <c r="AS29" s="79" t="s">
        <v>148</v>
      </c>
      <c r="AT29" s="79" t="s">
        <v>149</v>
      </c>
      <c r="AU29" s="79" t="s">
        <v>150</v>
      </c>
    </row>
    <row r="30" spans="1:47" ht="15.75" customHeight="1" x14ac:dyDescent="0.3">
      <c r="A30" s="1"/>
      <c r="B30" s="1"/>
      <c r="C30" s="1"/>
      <c r="D30" s="1"/>
      <c r="E30" s="2" t="s">
        <v>47</v>
      </c>
      <c r="F30" s="50">
        <f>+F29*7</f>
        <v>34.020000000000003</v>
      </c>
      <c r="G30" s="18" t="s">
        <v>12</v>
      </c>
      <c r="H30" s="13">
        <f t="shared" si="0"/>
        <v>7.0854019423954945E-2</v>
      </c>
      <c r="I30" s="23"/>
      <c r="J30" s="1"/>
      <c r="K30" s="1"/>
      <c r="L30" s="1"/>
      <c r="M30" s="1"/>
      <c r="N30" s="1"/>
      <c r="O30" s="50">
        <f>O29*C17</f>
        <v>10.5</v>
      </c>
      <c r="P30" s="18" t="s">
        <v>72</v>
      </c>
      <c r="Q30" s="1"/>
      <c r="R30" s="1"/>
      <c r="S30" s="1"/>
      <c r="T30" s="1"/>
      <c r="W30" s="71">
        <v>0</v>
      </c>
      <c r="X30" s="77">
        <v>0</v>
      </c>
      <c r="Y30" s="77">
        <v>0</v>
      </c>
      <c r="Z30" s="77">
        <v>0</v>
      </c>
      <c r="AA30" s="77">
        <v>0</v>
      </c>
      <c r="AB30" s="77">
        <v>0</v>
      </c>
      <c r="AC30" s="77">
        <v>0</v>
      </c>
      <c r="AD30" s="77">
        <v>0</v>
      </c>
      <c r="AE30" s="77">
        <f>$AA$10</f>
        <v>27.063684779176491</v>
      </c>
      <c r="AF30" s="77">
        <f>$AA$5</f>
        <v>200</v>
      </c>
      <c r="AG30" s="77">
        <v>0</v>
      </c>
      <c r="AH30" s="77">
        <f>-AE30-AF30</f>
        <v>-227.0636847791765</v>
      </c>
      <c r="AI30" s="77">
        <f>AH30</f>
        <v>-227.0636847791765</v>
      </c>
      <c r="AJ30" s="77">
        <f>AH30</f>
        <v>-227.0636847791765</v>
      </c>
      <c r="AK30" s="77">
        <f>AJ30</f>
        <v>-227.0636847791765</v>
      </c>
      <c r="AL30" s="77">
        <v>0</v>
      </c>
      <c r="AM30" s="77">
        <v>0</v>
      </c>
      <c r="AN30" s="77">
        <v>0</v>
      </c>
      <c r="AO30" s="77">
        <v>0</v>
      </c>
      <c r="AP30" s="76"/>
      <c r="AQ30" s="76"/>
      <c r="AR30" s="78"/>
      <c r="AS30" s="78"/>
      <c r="AT30" s="76"/>
      <c r="AU30" s="76"/>
    </row>
    <row r="31" spans="1:47" ht="15.75" customHeight="1" x14ac:dyDescent="0.3">
      <c r="A31" s="1"/>
      <c r="B31" s="4">
        <v>50</v>
      </c>
      <c r="C31" s="4"/>
      <c r="D31" s="4"/>
      <c r="E31" s="4"/>
      <c r="F31" s="50">
        <f>+B31*F1/1000000</f>
        <v>7.0922688861818965</v>
      </c>
      <c r="G31" s="18" t="s">
        <v>12</v>
      </c>
      <c r="H31" s="13">
        <f t="shared" si="0"/>
        <v>1.4771186285168821E-2</v>
      </c>
      <c r="I31" s="23"/>
      <c r="J31" s="1"/>
      <c r="K31" s="1"/>
      <c r="L31" s="1"/>
      <c r="M31" s="1"/>
      <c r="N31" s="1"/>
      <c r="O31" s="50" t="e">
        <f>O30/(1+#REF!)*(1-#REF!)</f>
        <v>#REF!</v>
      </c>
      <c r="P31" s="18" t="s">
        <v>73</v>
      </c>
      <c r="Q31" s="1"/>
      <c r="R31" s="1"/>
      <c r="S31" s="1"/>
      <c r="T31" s="1"/>
      <c r="W31" s="82">
        <v>1</v>
      </c>
      <c r="X31" s="83">
        <f>$AA$6</f>
        <v>39.85786725178906</v>
      </c>
      <c r="Y31" s="83">
        <f>IF(W31&lt;=$AA$8,$AA$5/$AA$8,0)+$AA$11/$AA$8*MIN(W31-1,$AA$8)</f>
        <v>13.333333333333334</v>
      </c>
      <c r="Z31" s="83">
        <f>X31-Y31</f>
        <v>26.524533918455724</v>
      </c>
      <c r="AA31" s="83">
        <f>MAX(Z31,0)*$AA$7</f>
        <v>9.0183415322749472</v>
      </c>
      <c r="AB31" s="83">
        <f>Z31-AA31</f>
        <v>17.506192386180778</v>
      </c>
      <c r="AC31" s="83">
        <f>Y31</f>
        <v>13.333333333333334</v>
      </c>
      <c r="AD31" s="83">
        <f>$AA$11</f>
        <v>2</v>
      </c>
      <c r="AE31" s="83">
        <f>IF(W31=20,-$AA$10,0)</f>
        <v>0</v>
      </c>
      <c r="AF31" s="83">
        <f>0</f>
        <v>0</v>
      </c>
      <c r="AG31" s="83">
        <f>IF(W31=20,$AA$12-MAX($AA$12-AM31,0)*$AA$7,0)</f>
        <v>0</v>
      </c>
      <c r="AH31" s="83">
        <f>AB31+AC31-AD31-AE31-AF31+AG31</f>
        <v>28.839525719514114</v>
      </c>
      <c r="AI31" s="83">
        <f>AI30+AH31</f>
        <v>-198.22415905966238</v>
      </c>
      <c r="AJ31" s="83">
        <f>AH31/(1+$AA$9)^W31</f>
        <v>26.217750654103739</v>
      </c>
      <c r="AK31" s="83">
        <f>AK30+AJ31</f>
        <v>-200.84593412507274</v>
      </c>
      <c r="AL31" s="83">
        <f>$AA$5</f>
        <v>200</v>
      </c>
      <c r="AM31" s="83">
        <f>MAX(AL31+AD31-Y31,0)</f>
        <v>188.66666666666666</v>
      </c>
      <c r="AN31" s="83">
        <f>AL31+$AA$10</f>
        <v>227.0636847791765</v>
      </c>
      <c r="AO31" s="83">
        <f>AM31+$AA$10</f>
        <v>215.73035144584316</v>
      </c>
      <c r="AP31" s="84">
        <f>IF(AVERAGE(AN31:AO31)&gt;0,AB31/AVERAGE(AN31:AO31),"Não aplicável")</f>
        <v>7.9071491275842107E-2</v>
      </c>
      <c r="AQ31" s="84">
        <f>IF(AVERAGE(AN31:AO31)&gt;0,Z31/AVERAGE(AN31:AO31),"Não aplicável")</f>
        <v>0.11980528981188197</v>
      </c>
      <c r="AR31" s="85" t="str">
        <f>IF(AND(COUNT($AR$30:AR30)=0,AI30&lt;0,AI31&gt;=0,AH31&gt;0),W31-1-AI30/AH31,"")</f>
        <v/>
      </c>
      <c r="AS31" s="85" t="str">
        <f>IF(AND(COUNT($AS$30:AS30)=0,AK30&lt;0,AK31&gt;=0,AJ31&gt;0),W31-1-AK30/AJ31,"")</f>
        <v/>
      </c>
      <c r="AT31" s="84">
        <f>IF(AVERAGE(AN31:AO31)&gt;0,AB31/AVERAGE(AN31:AO31),"Não aplicável")</f>
        <v>7.9071491275842107E-2</v>
      </c>
      <c r="AU31" s="84">
        <f>IF($AA$5&gt;0,X31/$AA$5,"Não aplicável")</f>
        <v>0.19928933625894529</v>
      </c>
    </row>
    <row r="32" spans="1:47" ht="15.75" customHeight="1" x14ac:dyDescent="0.3">
      <c r="E32" s="2" t="s">
        <v>48</v>
      </c>
      <c r="F32" s="51">
        <v>40.5</v>
      </c>
      <c r="G32" s="18" t="s">
        <v>12</v>
      </c>
      <c r="H32" s="13">
        <f t="shared" si="0"/>
        <v>8.4350023123755877E-2</v>
      </c>
      <c r="K32" s="1"/>
      <c r="L32" s="1"/>
      <c r="M32" s="1"/>
      <c r="N32" s="1"/>
      <c r="O32" s="37"/>
      <c r="P32" s="1"/>
      <c r="Q32" s="1"/>
      <c r="R32" s="1"/>
      <c r="S32" s="1"/>
      <c r="T32" s="1"/>
      <c r="W32" s="71">
        <v>2</v>
      </c>
      <c r="X32" s="77">
        <f>$AA$6</f>
        <v>39.85786725178906</v>
      </c>
      <c r="Y32" s="77">
        <f>IF(W32&lt;=$AA$8,$AA$5/$AA$8,0)+$AA$11/$AA$8*MIN(W32-1,$AA$8)</f>
        <v>13.466666666666667</v>
      </c>
      <c r="Z32" s="77">
        <f>X32-Y32</f>
        <v>26.391200585122391</v>
      </c>
      <c r="AA32" s="77">
        <f>MAX(Z32,0)*$AA$7</f>
        <v>8.9730081989416135</v>
      </c>
      <c r="AB32" s="77">
        <f>Z32-AA32</f>
        <v>17.418192386180777</v>
      </c>
      <c r="AC32" s="77">
        <f>Y32</f>
        <v>13.466666666666667</v>
      </c>
      <c r="AD32" s="77">
        <f>$AA$11</f>
        <v>2</v>
      </c>
      <c r="AE32" s="77">
        <f>IF(W32=20,-$AA$10,0)</f>
        <v>0</v>
      </c>
      <c r="AF32" s="77">
        <f>0</f>
        <v>0</v>
      </c>
      <c r="AG32" s="77">
        <f>IF(W32=20,$AA$12-MAX($AA$12-AM32,0)*$AA$7,0)</f>
        <v>0</v>
      </c>
      <c r="AH32" s="77">
        <f>AB32+AC32-AD32-AE32-AF32+AG32</f>
        <v>28.884859052847446</v>
      </c>
      <c r="AI32" s="77">
        <f>AI31+AH32</f>
        <v>-169.33930000681494</v>
      </c>
      <c r="AJ32" s="77">
        <f>AH32/(1+$AA$9)^W32</f>
        <v>23.871784341196232</v>
      </c>
      <c r="AK32" s="77">
        <f>AK31+AJ32</f>
        <v>-176.9741497838765</v>
      </c>
      <c r="AL32" s="77">
        <f>AM31</f>
        <v>188.66666666666666</v>
      </c>
      <c r="AM32" s="77">
        <f>MAX(AL32+AD32-Y32,0)</f>
        <v>177.2</v>
      </c>
      <c r="AN32" s="77">
        <f>AL32+$AA$10</f>
        <v>215.73035144584316</v>
      </c>
      <c r="AO32" s="77">
        <f>AM32+$AA$10</f>
        <v>204.26368477917649</v>
      </c>
      <c r="AP32" s="76">
        <f>IF(AVERAGE(AN32:AO32)&gt;0,AB32/AVERAGE(AN32:AO32),"Não aplicável")</f>
        <v>8.2944951041393628E-2</v>
      </c>
      <c r="AQ32" s="76">
        <f>IF(AVERAGE(AN32:AO32)&gt;0,Z32/AVERAGE(AN32:AO32),"Não aplicável")</f>
        <v>0.12567416824453581</v>
      </c>
      <c r="AR32" s="78" t="str">
        <f>IF(AND(COUNT($AR$30:AR31)=0,AI31&lt;0,AI32&gt;=0,AH32&gt;0),W32-1-AI31/AH32,"")</f>
        <v/>
      </c>
      <c r="AS32" s="78" t="str">
        <f>IF(AND(COUNT($AS$30:AS31)=0,AK31&lt;0,AK32&gt;=0,AJ32&gt;0),W32-1-AK31/AJ32,"")</f>
        <v/>
      </c>
      <c r="AT32" s="76">
        <f>IF(AVERAGE(AN32:AO32)&gt;0,AB32/AVERAGE(AN32:AO32),"Não aplicável")</f>
        <v>8.2944951041393628E-2</v>
      </c>
      <c r="AU32" s="76">
        <f>IF($AA$5&gt;0,X32/$AA$5,"Não aplicável")</f>
        <v>0.19928933625894529</v>
      </c>
    </row>
    <row r="33" spans="1:47" ht="15.75" customHeight="1" x14ac:dyDescent="0.3">
      <c r="A33" s="1"/>
      <c r="B33" s="1"/>
      <c r="C33" s="1"/>
      <c r="D33" s="1"/>
      <c r="E33" s="2" t="s">
        <v>49</v>
      </c>
      <c r="F33" s="50">
        <f>F37/20</f>
        <v>10</v>
      </c>
      <c r="G33" s="18" t="s">
        <v>12</v>
      </c>
      <c r="H33" s="13">
        <f t="shared" si="0"/>
        <v>2.0827166203396513E-2</v>
      </c>
      <c r="I33" s="1"/>
      <c r="J33" s="1"/>
      <c r="K33" s="1"/>
      <c r="L33" s="37"/>
      <c r="M33" s="1"/>
      <c r="N33" s="1"/>
      <c r="O33" s="1"/>
      <c r="P33" s="1"/>
      <c r="Q33" s="1"/>
      <c r="R33" s="1"/>
      <c r="S33" s="1"/>
      <c r="T33" s="1"/>
      <c r="W33" s="82">
        <v>3</v>
      </c>
      <c r="X33" s="83">
        <f>$AA$6</f>
        <v>39.85786725178906</v>
      </c>
      <c r="Y33" s="83">
        <f>IF(W33&lt;=$AA$8,$AA$5/$AA$8,0)+$AA$11/$AA$8*MIN(W33-1,$AA$8)</f>
        <v>13.600000000000001</v>
      </c>
      <c r="Z33" s="83">
        <f>X33-Y33</f>
        <v>26.257867251789058</v>
      </c>
      <c r="AA33" s="83">
        <f>MAX(Z33,0)*$AA$7</f>
        <v>8.9276748656082798</v>
      </c>
      <c r="AB33" s="83">
        <f>Z33-AA33</f>
        <v>17.330192386180777</v>
      </c>
      <c r="AC33" s="83">
        <f>Y33</f>
        <v>13.600000000000001</v>
      </c>
      <c r="AD33" s="83">
        <f>$AA$11</f>
        <v>2</v>
      </c>
      <c r="AE33" s="83">
        <f>IF(W33=20,-$AA$10,0)</f>
        <v>0</v>
      </c>
      <c r="AF33" s="83">
        <f>0</f>
        <v>0</v>
      </c>
      <c r="AG33" s="83">
        <f>IF(W33=20,$AA$12-MAX($AA$12-AM33,0)*$AA$7,0)</f>
        <v>0</v>
      </c>
      <c r="AH33" s="83">
        <f>AB33+AC33-AD33-AE33-AF33+AG33</f>
        <v>28.930192386180778</v>
      </c>
      <c r="AI33" s="83">
        <f>AI32+AH33</f>
        <v>-140.40910762063416</v>
      </c>
      <c r="AJ33" s="83">
        <f>AH33/(1+$AA$9)^W33</f>
        <v>21.735681732667747</v>
      </c>
      <c r="AK33" s="83">
        <f>AK32+AJ33</f>
        <v>-155.23846805120874</v>
      </c>
      <c r="AL33" s="83">
        <f>AM32</f>
        <v>177.2</v>
      </c>
      <c r="AM33" s="83">
        <f>MAX(AL33+AD33-Y33,0)</f>
        <v>165.6</v>
      </c>
      <c r="AN33" s="83">
        <f>AL33+$AA$10</f>
        <v>204.26368477917649</v>
      </c>
      <c r="AO33" s="83">
        <f>AM33+$AA$10</f>
        <v>192.66368477917649</v>
      </c>
      <c r="AP33" s="84">
        <f>IF(AVERAGE(AN33:AO33)&gt;0,AB33/AVERAGE(AN33:AO33),"Não aplicável")</f>
        <v>8.7321730448890272E-2</v>
      </c>
      <c r="AQ33" s="84">
        <f>IF(AVERAGE(AN33:AO33)&gt;0,Z33/AVERAGE(AN33:AO33),"Não aplicável")</f>
        <v>0.13230565219528831</v>
      </c>
      <c r="AR33" s="85" t="str">
        <f>IF(AND(COUNT($AR$30:AR32)=0,AI32&lt;0,AI33&gt;=0,AH33&gt;0),W33-1-AI32/AH33,"")</f>
        <v/>
      </c>
      <c r="AS33" s="85" t="str">
        <f>IF(AND(COUNT($AS$30:AS32)=0,AK32&lt;0,AK33&gt;=0,AJ33&gt;0),W33-1-AK32/AJ33,"")</f>
        <v/>
      </c>
      <c r="AT33" s="84">
        <f>IF(AVERAGE(AN33:AO33)&gt;0,AB33/AVERAGE(AN33:AO33),"Não aplicável")</f>
        <v>8.7321730448890272E-2</v>
      </c>
      <c r="AU33" s="84">
        <f>IF($AA$5&gt;0,X33/$AA$5,"Não aplicável")</f>
        <v>0.19928933625894529</v>
      </c>
    </row>
    <row r="34" spans="1:47" ht="15.75" customHeight="1" x14ac:dyDescent="0.3">
      <c r="A34" s="1"/>
      <c r="B34" s="1"/>
      <c r="C34" s="1"/>
      <c r="D34" s="1"/>
      <c r="E34" s="1"/>
      <c r="F34" s="1"/>
      <c r="G34" s="18"/>
      <c r="H34" s="36"/>
      <c r="I34" s="1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W34" s="71">
        <v>4</v>
      </c>
      <c r="X34" s="77">
        <f>$AA$6</f>
        <v>39.85786725178906</v>
      </c>
      <c r="Y34" s="77">
        <f>IF(W34&lt;=$AA$8,$AA$5/$AA$8,0)+$AA$11/$AA$8*MIN(W34-1,$AA$8)</f>
        <v>13.733333333333334</v>
      </c>
      <c r="Z34" s="77">
        <f>X34-Y34</f>
        <v>26.124533918455725</v>
      </c>
      <c r="AA34" s="77">
        <f>MAX(Z34,0)*$AA$7</f>
        <v>8.8823415322749479</v>
      </c>
      <c r="AB34" s="77">
        <f>Z34-AA34</f>
        <v>17.242192386180776</v>
      </c>
      <c r="AC34" s="77">
        <f>Y34</f>
        <v>13.733333333333334</v>
      </c>
      <c r="AD34" s="77">
        <f>$AA$11</f>
        <v>2</v>
      </c>
      <c r="AE34" s="77">
        <f>IF(W34=20,-$AA$10,0)</f>
        <v>0</v>
      </c>
      <c r="AF34" s="77">
        <f>0</f>
        <v>0</v>
      </c>
      <c r="AG34" s="77">
        <f>IF(W34=20,$AA$12-MAX($AA$12-AM34,0)*$AA$7,0)</f>
        <v>0</v>
      </c>
      <c r="AH34" s="77">
        <f>AB34+AC34-AD34-AE34-AF34+AG34</f>
        <v>28.97552571951411</v>
      </c>
      <c r="AI34" s="77">
        <f>AI33+AH34</f>
        <v>-111.43358190112005</v>
      </c>
      <c r="AJ34" s="77">
        <f>AH34/(1+$AA$9)^W34</f>
        <v>19.790673942704803</v>
      </c>
      <c r="AK34" s="77">
        <f>AK33+AJ34</f>
        <v>-135.44779410850393</v>
      </c>
      <c r="AL34" s="77">
        <f>AM33</f>
        <v>165.6</v>
      </c>
      <c r="AM34" s="77">
        <f>MAX(AL34+AD34-Y34,0)</f>
        <v>153.86666666666667</v>
      </c>
      <c r="AN34" s="77">
        <f>AL34+$AA$10</f>
        <v>192.66368477917649</v>
      </c>
      <c r="AO34" s="77">
        <f>AM34+$AA$10</f>
        <v>180.93035144584317</v>
      </c>
      <c r="AP34" s="76">
        <f>IF(AVERAGE(AN34:AO34)&gt;0,AB34/AVERAGE(AN34:AO34),"Não aplicável")</f>
        <v>9.2304430554644185E-2</v>
      </c>
      <c r="AQ34" s="76">
        <f>IF(AVERAGE(AN34:AO34)&gt;0,Z34/AVERAGE(AN34:AO34),"Não aplicável")</f>
        <v>0.13985519781006697</v>
      </c>
      <c r="AR34" s="78" t="str">
        <f>IF(AND(COUNT($AR$30:AR33)=0,AI33&lt;0,AI34&gt;=0,AH34&gt;0),W34-1-AI33/AH34,"")</f>
        <v/>
      </c>
      <c r="AS34" s="78" t="str">
        <f>IF(AND(COUNT($AS$30:AS33)=0,AK33&lt;0,AK34&gt;=0,AJ34&gt;0),W34-1-AK33/AJ34,"")</f>
        <v/>
      </c>
      <c r="AT34" s="76">
        <f>IF(AVERAGE(AN34:AO34)&gt;0,AB34/AVERAGE(AN34:AO34),"Não aplicável")</f>
        <v>9.2304430554644185E-2</v>
      </c>
      <c r="AU34" s="76">
        <f>IF($AA$5&gt;0,X34/$AA$5,"Não aplicável")</f>
        <v>0.19928933625894529</v>
      </c>
    </row>
    <row r="35" spans="1:47" ht="15.75" customHeight="1" x14ac:dyDescent="0.3">
      <c r="A35" s="54"/>
      <c r="B35" s="96" t="s">
        <v>50</v>
      </c>
      <c r="C35" s="97"/>
      <c r="D35" s="97"/>
      <c r="E35" s="96"/>
      <c r="F35" s="61">
        <f>+SUM(F25:F33)</f>
        <v>480.14213274819843</v>
      </c>
      <c r="G35" s="58" t="s">
        <v>12</v>
      </c>
      <c r="H35" s="57"/>
      <c r="I35" s="62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6"/>
      <c r="W35" s="82">
        <v>5</v>
      </c>
      <c r="X35" s="83">
        <f>$AA$6</f>
        <v>39.85786725178906</v>
      </c>
      <c r="Y35" s="83">
        <f>IF(W35&lt;=$AA$8,$AA$5/$AA$8,0)+$AA$11/$AA$8*MIN(W35-1,$AA$8)</f>
        <v>13.866666666666667</v>
      </c>
      <c r="Z35" s="83">
        <f>X35-Y35</f>
        <v>25.991200585122392</v>
      </c>
      <c r="AA35" s="83">
        <f>MAX(Z35,0)*$AA$7</f>
        <v>8.8370081989416143</v>
      </c>
      <c r="AB35" s="83">
        <f>Z35-AA35</f>
        <v>17.154192386180778</v>
      </c>
      <c r="AC35" s="83">
        <f>Y35</f>
        <v>13.866666666666667</v>
      </c>
      <c r="AD35" s="83">
        <f>$AA$11</f>
        <v>2</v>
      </c>
      <c r="AE35" s="83">
        <f>IF(W35=20,-$AA$10,0)</f>
        <v>0</v>
      </c>
      <c r="AF35" s="83">
        <f>0</f>
        <v>0</v>
      </c>
      <c r="AG35" s="83">
        <f>IF(W35=20,$AA$12-MAX($AA$12-AM35,0)*$AA$7,0)</f>
        <v>0</v>
      </c>
      <c r="AH35" s="83">
        <f>AB35+AC35-AD35-AE35-AF35+AG35</f>
        <v>29.020859052847445</v>
      </c>
      <c r="AI35" s="83">
        <f>AI34+AH35</f>
        <v>-82.412722848272608</v>
      </c>
      <c r="AJ35" s="83">
        <f>AH35/(1+$AA$9)^W35</f>
        <v>18.01967019940729</v>
      </c>
      <c r="AK35" s="83">
        <f>AK34+AJ35</f>
        <v>-117.42812390909664</v>
      </c>
      <c r="AL35" s="83">
        <f>AM34</f>
        <v>153.86666666666667</v>
      </c>
      <c r="AM35" s="83">
        <f>MAX(AL35+AD35-Y35,0)</f>
        <v>142</v>
      </c>
      <c r="AN35" s="83">
        <f>AL35+$AA$10</f>
        <v>180.93035144584317</v>
      </c>
      <c r="AO35" s="83">
        <f>AM35+$AA$10</f>
        <v>169.0636847791765</v>
      </c>
      <c r="AP35" s="84">
        <f>IF(AVERAGE(AN35:AO35)&gt;0,AB35/AVERAGE(AN35:AO35),"Não aplicável")</f>
        <v>9.8025626786120035E-2</v>
      </c>
      <c r="AQ35" s="84">
        <f>IF(AVERAGE(AN35:AO35)&gt;0,Z35/AVERAGE(AN35:AO35),"Não aplicável")</f>
        <v>0.14852367694866675</v>
      </c>
      <c r="AR35" s="85" t="str">
        <f>IF(AND(COUNT($AR$30:AR34)=0,AI34&lt;0,AI35&gt;=0,AH35&gt;0),W35-1-AI34/AH35,"")</f>
        <v/>
      </c>
      <c r="AS35" s="85" t="str">
        <f>IF(AND(COUNT($AS$30:AS34)=0,AK34&lt;0,AK35&gt;=0,AJ35&gt;0),W35-1-AK34/AJ35,"")</f>
        <v/>
      </c>
      <c r="AT35" s="84">
        <f>IF(AVERAGE(AN35:AO35)&gt;0,AB35/AVERAGE(AN35:AO35),"Não aplicável")</f>
        <v>9.8025626786120035E-2</v>
      </c>
      <c r="AU35" s="84">
        <f>IF($AA$5&gt;0,X35/$AA$5,"Não aplicável")</f>
        <v>0.19928933625894529</v>
      </c>
    </row>
    <row r="36" spans="1:47" ht="15.75" customHeight="1" x14ac:dyDescent="0.3">
      <c r="A36" s="103" t="s">
        <v>74</v>
      </c>
      <c r="B36" s="103"/>
      <c r="C36" s="103"/>
      <c r="D36" s="103"/>
      <c r="E36" s="103"/>
      <c r="F36" s="61">
        <f>F19-F35</f>
        <v>39.85786725178906</v>
      </c>
      <c r="G36" s="58" t="s">
        <v>12</v>
      </c>
      <c r="H36" s="54"/>
      <c r="I36" s="69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6"/>
      <c r="W36" s="71">
        <v>6</v>
      </c>
      <c r="X36" s="77">
        <f>$AA$6</f>
        <v>39.85786725178906</v>
      </c>
      <c r="Y36" s="77">
        <f>IF(W36&lt;=$AA$8,$AA$5/$AA$8,0)+$AA$11/$AA$8*MIN(W36-1,$AA$8)</f>
        <v>14</v>
      </c>
      <c r="Z36" s="77">
        <f>X36-Y36</f>
        <v>25.85786725178906</v>
      </c>
      <c r="AA36" s="77">
        <f>MAX(Z36,0)*$AA$7</f>
        <v>8.7916748656082806</v>
      </c>
      <c r="AB36" s="77">
        <f>Z36-AA36</f>
        <v>17.066192386180781</v>
      </c>
      <c r="AC36" s="77">
        <f>Y36</f>
        <v>14</v>
      </c>
      <c r="AD36" s="77">
        <f>$AA$11</f>
        <v>2</v>
      </c>
      <c r="AE36" s="77">
        <f>IF(W36=20,-$AA$10,0)</f>
        <v>0</v>
      </c>
      <c r="AF36" s="77">
        <f>0</f>
        <v>0</v>
      </c>
      <c r="AG36" s="77">
        <f>IF(W36=20,$AA$12-MAX($AA$12-AM36,0)*$AA$7,0)</f>
        <v>0</v>
      </c>
      <c r="AH36" s="77">
        <f>AB36+AC36-AD36-AE36-AF36+AG36</f>
        <v>29.066192386180781</v>
      </c>
      <c r="AI36" s="77">
        <f>AI35+AH36</f>
        <v>-53.346530462091827</v>
      </c>
      <c r="AJ36" s="77">
        <f>AH36/(1+$AA$9)^W36</f>
        <v>16.407107847926639</v>
      </c>
      <c r="AK36" s="77">
        <f>AK35+AJ36</f>
        <v>-101.02101606117</v>
      </c>
      <c r="AL36" s="77">
        <f>AM35</f>
        <v>142</v>
      </c>
      <c r="AM36" s="77">
        <f>MAX(AL36+AD36-Y36,0)</f>
        <v>130</v>
      </c>
      <c r="AN36" s="77">
        <f>AL36+$AA$10</f>
        <v>169.0636847791765</v>
      </c>
      <c r="AO36" s="77">
        <f>AM36+$AA$10</f>
        <v>157.0636847791765</v>
      </c>
      <c r="AP36" s="76">
        <f>IF(AVERAGE(AN36:AO36)&gt;0,AB36/AVERAGE(AN36:AO36),"Não aplicável")</f>
        <v>0.10465967581495596</v>
      </c>
      <c r="AQ36" s="76">
        <f>IF(AVERAGE(AN36:AO36)&gt;0,Z36/AVERAGE(AN36:AO36),"Não aplicável")</f>
        <v>0.1585752663862969</v>
      </c>
      <c r="AR36" s="78" t="str">
        <f>IF(AND(COUNT($AR$30:AR35)=0,AI35&lt;0,AI36&gt;=0,AH36&gt;0),W36-1-AI35/AH36,"")</f>
        <v/>
      </c>
      <c r="AS36" s="78" t="str">
        <f>IF(AND(COUNT($AS$30:AS35)=0,AK35&lt;0,AK36&gt;=0,AJ36&gt;0),W36-1-AK35/AJ36,"")</f>
        <v/>
      </c>
      <c r="AT36" s="76">
        <f>IF(AVERAGE(AN36:AO36)&gt;0,AB36/AVERAGE(AN36:AO36),"Não aplicável")</f>
        <v>0.10465967581495596</v>
      </c>
      <c r="AU36" s="76">
        <f>IF($AA$5&gt;0,X36/$AA$5,"Não aplicável")</f>
        <v>0.19928933625894529</v>
      </c>
    </row>
    <row r="37" spans="1:47" ht="15.75" customHeight="1" thickBot="1" x14ac:dyDescent="0.35">
      <c r="A37" s="54"/>
      <c r="B37" s="101" t="s">
        <v>51</v>
      </c>
      <c r="C37" s="97"/>
      <c r="D37" s="97"/>
      <c r="E37" s="101"/>
      <c r="F37" s="88">
        <v>200</v>
      </c>
      <c r="G37" s="67" t="s">
        <v>11</v>
      </c>
      <c r="H37" s="65"/>
      <c r="I37" s="62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6"/>
      <c r="W37" s="82">
        <v>7</v>
      </c>
      <c r="X37" s="83">
        <f>$AA$6</f>
        <v>39.85786725178906</v>
      </c>
      <c r="Y37" s="83">
        <f>IF(W37&lt;=$AA$8,$AA$5/$AA$8,0)+$AA$11/$AA$8*MIN(W37-1,$AA$8)</f>
        <v>14.133333333333335</v>
      </c>
      <c r="Z37" s="83">
        <f>X37-Y37</f>
        <v>25.724533918455727</v>
      </c>
      <c r="AA37" s="83">
        <f>MAX(Z37,0)*$AA$7</f>
        <v>8.7463415322749469</v>
      </c>
      <c r="AB37" s="83">
        <f>Z37-AA37</f>
        <v>16.97819238618078</v>
      </c>
      <c r="AC37" s="83">
        <f>Y37</f>
        <v>14.133333333333335</v>
      </c>
      <c r="AD37" s="83">
        <f>$AA$11</f>
        <v>2</v>
      </c>
      <c r="AE37" s="83">
        <f>IF(W37=20,-$AA$10,0)</f>
        <v>0</v>
      </c>
      <c r="AF37" s="83">
        <f>0</f>
        <v>0</v>
      </c>
      <c r="AG37" s="83">
        <f>IF(W37=20,$AA$12-MAX($AA$12-AM37,0)*$AA$7,0)</f>
        <v>0</v>
      </c>
      <c r="AH37" s="83">
        <f>AB37+AC37-AD37-AE37-AF37+AG37</f>
        <v>29.111525719514113</v>
      </c>
      <c r="AI37" s="83">
        <f>AI36+AH37</f>
        <v>-24.235004742577715</v>
      </c>
      <c r="AJ37" s="83">
        <f>AH37/(1+$AA$9)^W37</f>
        <v>14.938815757050675</v>
      </c>
      <c r="AK37" s="83">
        <f>AK36+AJ37</f>
        <v>-86.082200304119326</v>
      </c>
      <c r="AL37" s="83">
        <f>AM36</f>
        <v>130</v>
      </c>
      <c r="AM37" s="83">
        <f>MAX(AL37+AD37-Y37,0)</f>
        <v>117.86666666666666</v>
      </c>
      <c r="AN37" s="83">
        <f>AL37+$AA$10</f>
        <v>157.0636847791765</v>
      </c>
      <c r="AO37" s="83">
        <f>AM37+$AA$10</f>
        <v>144.93035144584314</v>
      </c>
      <c r="AP37" s="84">
        <f>IF(AVERAGE(AN37:AO37)&gt;0,AB37/AVERAGE(AN37:AO37),"Não aplicável")</f>
        <v>0.11244058060491044</v>
      </c>
      <c r="AQ37" s="84">
        <f>IF(AVERAGE(AN37:AO37)&gt;0,Z37/AVERAGE(AN37:AO37),"Não aplicável")</f>
        <v>0.17036451606804612</v>
      </c>
      <c r="AR37" s="85" t="str">
        <f>IF(AND(COUNT($AR$30:AR36)=0,AI36&lt;0,AI37&gt;=0,AH37&gt;0),W37-1-AI36/AH37,"")</f>
        <v/>
      </c>
      <c r="AS37" s="85" t="str">
        <f>IF(AND(COUNT($AS$30:AS36)=0,AK36&lt;0,AK37&gt;=0,AJ37&gt;0),W37-1-AK36/AJ37,"")</f>
        <v/>
      </c>
      <c r="AT37" s="84">
        <f>IF(AVERAGE(AN37:AO37)&gt;0,AB37/AVERAGE(AN37:AO37),"Não aplicável")</f>
        <v>0.11244058060491044</v>
      </c>
      <c r="AU37" s="84">
        <f>IF($AA$5&gt;0,X37/$AA$5,"Não aplicável")</f>
        <v>0.19928933625894529</v>
      </c>
    </row>
    <row r="38" spans="1:47" ht="15.75" customHeight="1" thickBot="1" x14ac:dyDescent="0.35">
      <c r="A38" s="54"/>
      <c r="B38" s="96" t="s">
        <v>52</v>
      </c>
      <c r="C38" s="97"/>
      <c r="D38" s="97"/>
      <c r="E38" s="96"/>
      <c r="F38" s="60">
        <f>F35/Q10*1000</f>
        <v>0.48014213274820994</v>
      </c>
      <c r="G38" s="58" t="s">
        <v>53</v>
      </c>
      <c r="H38" s="70">
        <f>F38*C17</f>
        <v>2.4007106637410498</v>
      </c>
      <c r="I38" s="63" t="s">
        <v>54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6"/>
      <c r="W38" s="71">
        <v>8</v>
      </c>
      <c r="X38" s="77">
        <f>$AA$6</f>
        <v>39.85786725178906</v>
      </c>
      <c r="Y38" s="77">
        <f>IF(W38&lt;=$AA$8,$AA$5/$AA$8,0)+$AA$11/$AA$8*MIN(W38-1,$AA$8)</f>
        <v>14.266666666666667</v>
      </c>
      <c r="Z38" s="77">
        <f>X38-Y38</f>
        <v>25.591200585122394</v>
      </c>
      <c r="AA38" s="77">
        <f>MAX(Z38,0)*$AA$7</f>
        <v>8.701008198941615</v>
      </c>
      <c r="AB38" s="77">
        <f>Z38-AA38</f>
        <v>16.890192386180779</v>
      </c>
      <c r="AC38" s="77">
        <f>Y38</f>
        <v>14.266666666666667</v>
      </c>
      <c r="AD38" s="77">
        <f>$AA$11</f>
        <v>2</v>
      </c>
      <c r="AE38" s="77">
        <f>IF(W38=20,-$AA$10,0)</f>
        <v>0</v>
      </c>
      <c r="AF38" s="77">
        <f>0</f>
        <v>0</v>
      </c>
      <c r="AG38" s="77">
        <f>IF(W38=20,$AA$12-MAX($AA$12-AM38,0)*$AA$7,0)</f>
        <v>0</v>
      </c>
      <c r="AH38" s="77">
        <f>AB38+AC38-AD38-AE38-AF38+AG38</f>
        <v>29.156859052847445</v>
      </c>
      <c r="AI38" s="77">
        <f>AI37+AH38</f>
        <v>4.9218543102697296</v>
      </c>
      <c r="AJ38" s="77">
        <f>AH38/(1+$AA$9)^W38</f>
        <v>13.601889931888303</v>
      </c>
      <c r="AK38" s="77">
        <f>AK37+AJ38</f>
        <v>-72.480310372231017</v>
      </c>
      <c r="AL38" s="77">
        <f>AM37</f>
        <v>117.86666666666666</v>
      </c>
      <c r="AM38" s="77">
        <f>MAX(AL38+AD38-Y38,0)</f>
        <v>105.6</v>
      </c>
      <c r="AN38" s="77">
        <f>AL38+$AA$10</f>
        <v>144.93035144584314</v>
      </c>
      <c r="AO38" s="77">
        <f>AM38+$AA$10</f>
        <v>132.66368477917649</v>
      </c>
      <c r="AP38" s="76">
        <f>IF(AVERAGE(AN38:AO38)&gt;0,AB38/AVERAGE(AN38:AO38),"Não aplicável")</f>
        <v>0.12168987933508393</v>
      </c>
      <c r="AQ38" s="76">
        <f>IF(AVERAGE(AN38:AO38)&gt;0,Z38/AVERAGE(AN38:AO38),"Não aplicável")</f>
        <v>0.18437860505315748</v>
      </c>
      <c r="AR38" s="78">
        <f>IF(AND(COUNT($AR$30:AR37)=0,AI37&lt;0,AI38&gt;=0,AH38&gt;0),W38-1-AI37/AH38,"")</f>
        <v>7.8311939464621769</v>
      </c>
      <c r="AS38" s="78" t="str">
        <f>IF(AND(COUNT($AS$30:AS37)=0,AK37&lt;0,AK38&gt;=0,AJ38&gt;0),W38-1-AK37/AJ38,"")</f>
        <v/>
      </c>
      <c r="AT38" s="76">
        <f>IF(AVERAGE(AN38:AO38)&gt;0,AB38/AVERAGE(AN38:AO38),"Não aplicável")</f>
        <v>0.12168987933508393</v>
      </c>
      <c r="AU38" s="76">
        <f>IF($AA$5&gt;0,X38/$AA$5,"Não aplicável")</f>
        <v>0.19928933625894529</v>
      </c>
    </row>
    <row r="39" spans="1:47" ht="15.75" customHeight="1" x14ac:dyDescent="0.3">
      <c r="A39" s="54"/>
      <c r="B39" s="102" t="s">
        <v>75</v>
      </c>
      <c r="C39" s="97"/>
      <c r="D39" s="97"/>
      <c r="E39" s="102"/>
      <c r="F39" s="61">
        <f>'Etanol de Cana de Açúcar'!AA17</f>
        <v>7.8311939464621769</v>
      </c>
      <c r="G39" s="106" t="s">
        <v>76</v>
      </c>
      <c r="H39" s="97"/>
      <c r="I39" s="10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56"/>
      <c r="W39" s="82">
        <v>9</v>
      </c>
      <c r="X39" s="83">
        <f>$AA$6</f>
        <v>39.85786725178906</v>
      </c>
      <c r="Y39" s="83">
        <f>IF(W39&lt;=$AA$8,$AA$5/$AA$8,0)+$AA$11/$AA$8*MIN(W39-1,$AA$8)</f>
        <v>14.4</v>
      </c>
      <c r="Z39" s="83">
        <f>X39-Y39</f>
        <v>25.457867251789061</v>
      </c>
      <c r="AA39" s="83">
        <f>MAX(Z39,0)*$AA$7</f>
        <v>8.6556748656082814</v>
      </c>
      <c r="AB39" s="83">
        <f>Z39-AA39</f>
        <v>16.802192386180778</v>
      </c>
      <c r="AC39" s="83">
        <f>Y39</f>
        <v>14.4</v>
      </c>
      <c r="AD39" s="83">
        <f>$AA$11</f>
        <v>2</v>
      </c>
      <c r="AE39" s="83">
        <f>IF(W39=20,-$AA$10,0)</f>
        <v>0</v>
      </c>
      <c r="AF39" s="83">
        <f>0</f>
        <v>0</v>
      </c>
      <c r="AG39" s="83">
        <f>IF(W39=20,$AA$12-MAX($AA$12-AM39,0)*$AA$7,0)</f>
        <v>0</v>
      </c>
      <c r="AH39" s="83">
        <f>AB39+AC39-AD39-AE39-AF39+AG39</f>
        <v>29.202192386180776</v>
      </c>
      <c r="AI39" s="83">
        <f>AI38+AH39</f>
        <v>34.124046696450506</v>
      </c>
      <c r="AJ39" s="83">
        <f>AH39/(1+$AA$9)^W39</f>
        <v>12.384580242234373</v>
      </c>
      <c r="AK39" s="83">
        <f>AK38+AJ39</f>
        <v>-60.095730129996646</v>
      </c>
      <c r="AL39" s="83">
        <f>AM38</f>
        <v>105.6</v>
      </c>
      <c r="AM39" s="83">
        <f>MAX(AL39+AD39-Y39,0)</f>
        <v>93.199999999999989</v>
      </c>
      <c r="AN39" s="83">
        <f>AL39+$AA$10</f>
        <v>132.66368477917649</v>
      </c>
      <c r="AO39" s="83">
        <f>AM39+$AA$10</f>
        <v>120.26368477917649</v>
      </c>
      <c r="AP39" s="84">
        <f>IF(AVERAGE(AN39:AO39)&gt;0,AB39/AVERAGE(AN39:AO39),"Não aplicável")</f>
        <v>0.13286179677209142</v>
      </c>
      <c r="AQ39" s="84">
        <f>IF(AVERAGE(AN39:AO39)&gt;0,Z39/AVERAGE(AN39:AO39),"Não aplicável")</f>
        <v>0.20130575268498704</v>
      </c>
      <c r="AR39" s="85" t="str">
        <f>IF(AND(COUNT($AR$30:AR38)=0,AI38&lt;0,AI39&gt;=0,AH39&gt;0),W39-1-AI38/AH39,"")</f>
        <v/>
      </c>
      <c r="AS39" s="85" t="str">
        <f>IF(AND(COUNT($AS$30:AS38)=0,AK38&lt;0,AK39&gt;=0,AJ39&gt;0),W39-1-AK38/AJ39,"")</f>
        <v/>
      </c>
      <c r="AT39" s="84">
        <f>IF(AVERAGE(AN39:AO39)&gt;0,AB39/AVERAGE(AN39:AO39),"Não aplicável")</f>
        <v>0.13286179677209142</v>
      </c>
      <c r="AU39" s="84">
        <f>IF($AA$5&gt;0,X39/$AA$5,"Não aplicável")</f>
        <v>0.19928933625894529</v>
      </c>
    </row>
    <row r="40" spans="1:47" ht="15.75" customHeight="1" x14ac:dyDescent="0.3">
      <c r="A40" s="54"/>
      <c r="B40" s="102" t="s">
        <v>77</v>
      </c>
      <c r="C40" s="97"/>
      <c r="D40" s="97"/>
      <c r="E40" s="102"/>
      <c r="F40" s="61">
        <f>IF(ISNUMBER('Etanol de Cana de Açúcar'!AA18),'Etanol de Cana de Açúcar'!AA18,"Não recupera")</f>
        <v>16.09103323731016</v>
      </c>
      <c r="G40" s="108" t="s">
        <v>78</v>
      </c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56"/>
      <c r="W40" s="71">
        <v>10</v>
      </c>
      <c r="X40" s="77">
        <f>$AA$6</f>
        <v>39.85786725178906</v>
      </c>
      <c r="Y40" s="77">
        <f>IF(W40&lt;=$AA$8,$AA$5/$AA$8,0)+$AA$11/$AA$8*MIN(W40-1,$AA$8)</f>
        <v>14.533333333333333</v>
      </c>
      <c r="Z40" s="77">
        <f>X40-Y40</f>
        <v>25.324533918455728</v>
      </c>
      <c r="AA40" s="77">
        <f>MAX(Z40,0)*$AA$7</f>
        <v>8.6103415322749477</v>
      </c>
      <c r="AB40" s="77">
        <f>Z40-AA40</f>
        <v>16.71419238618078</v>
      </c>
      <c r="AC40" s="77">
        <f>Y40</f>
        <v>14.533333333333333</v>
      </c>
      <c r="AD40" s="77">
        <f>$AA$11</f>
        <v>2</v>
      </c>
      <c r="AE40" s="77">
        <f>IF(W40=20,-$AA$10,0)</f>
        <v>0</v>
      </c>
      <c r="AF40" s="77">
        <f>0</f>
        <v>0</v>
      </c>
      <c r="AG40" s="77">
        <f>IF(W40=20,$AA$12-MAX($AA$12-AM40,0)*$AA$7,0)</f>
        <v>0</v>
      </c>
      <c r="AH40" s="77">
        <f>AB40+AC40-AD40-AE40-AF40+AG40</f>
        <v>29.247525719514115</v>
      </c>
      <c r="AI40" s="77">
        <f>AI39+AH40</f>
        <v>63.371572415964621</v>
      </c>
      <c r="AJ40" s="77">
        <f>AH40/(1+$AA$9)^W40</f>
        <v>11.276187273576296</v>
      </c>
      <c r="AK40" s="77">
        <f>AK39+AJ40</f>
        <v>-48.819542856420348</v>
      </c>
      <c r="AL40" s="77">
        <f>AM39</f>
        <v>93.199999999999989</v>
      </c>
      <c r="AM40" s="77">
        <f>MAX(AL40+AD40-Y40,0)</f>
        <v>80.666666666666657</v>
      </c>
      <c r="AN40" s="77">
        <f>AL40+$AA$10</f>
        <v>120.26368477917649</v>
      </c>
      <c r="AO40" s="77">
        <f>AM40+$AA$10</f>
        <v>107.73035144584316</v>
      </c>
      <c r="AP40" s="76">
        <f>IF(AVERAGE(AN40:AO40)&gt;0,AB40/AVERAGE(AN40:AO40),"Não aplicável")</f>
        <v>0.14661955780005262</v>
      </c>
      <c r="AQ40" s="76">
        <f>IF(AVERAGE(AN40:AO40)&gt;0,Z40/AVERAGE(AN40:AO40),"Não aplicável")</f>
        <v>0.22215084515159489</v>
      </c>
      <c r="AR40" s="78" t="str">
        <f>IF(AND(COUNT($AR$30:AR39)=0,AI39&lt;0,AI40&gt;=0,AH40&gt;0),W40-1-AI39/AH40,"")</f>
        <v/>
      </c>
      <c r="AS40" s="78" t="str">
        <f>IF(AND(COUNT($AS$30:AS39)=0,AK39&lt;0,AK40&gt;=0,AJ40&gt;0),W40-1-AK39/AJ40,"")</f>
        <v/>
      </c>
      <c r="AT40" s="76">
        <f>IF(AVERAGE(AN40:AO40)&gt;0,AB40/AVERAGE(AN40:AO40),"Não aplicável")</f>
        <v>0.14661955780005262</v>
      </c>
      <c r="AU40" s="76">
        <f>IF($AA$5&gt;0,X40/$AA$5,"Não aplicável")</f>
        <v>0.19928933625894529</v>
      </c>
    </row>
    <row r="41" spans="1:47" ht="15.75" customHeight="1" x14ac:dyDescent="0.3">
      <c r="A41" s="54"/>
      <c r="B41" s="96" t="s">
        <v>55</v>
      </c>
      <c r="C41" s="97"/>
      <c r="D41" s="97"/>
      <c r="E41" s="96"/>
      <c r="F41" s="68">
        <f>Q10/F2*1000</f>
        <v>84.860309044674864</v>
      </c>
      <c r="G41" s="58" t="s">
        <v>79</v>
      </c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6"/>
      <c r="W41" s="82">
        <v>11</v>
      </c>
      <c r="X41" s="83">
        <f>$AA$6</f>
        <v>39.85786725178906</v>
      </c>
      <c r="Y41" s="83">
        <f>IF(W41&lt;=$AA$8,$AA$5/$AA$8,0)+$AA$11/$AA$8*MIN(W41-1,$AA$8)</f>
        <v>14.666666666666668</v>
      </c>
      <c r="Z41" s="83">
        <f>X41-Y41</f>
        <v>25.191200585122392</v>
      </c>
      <c r="AA41" s="83">
        <f>MAX(Z41,0)*$AA$7</f>
        <v>8.565008198941614</v>
      </c>
      <c r="AB41" s="83">
        <f>Z41-AA41</f>
        <v>16.626192386180776</v>
      </c>
      <c r="AC41" s="83">
        <f>Y41</f>
        <v>14.666666666666668</v>
      </c>
      <c r="AD41" s="83">
        <f>$AA$11</f>
        <v>2</v>
      </c>
      <c r="AE41" s="83">
        <f>IF(W41=20,-$AA$10,0)</f>
        <v>0</v>
      </c>
      <c r="AF41" s="83">
        <f>0</f>
        <v>0</v>
      </c>
      <c r="AG41" s="83">
        <f>IF(W41=20,$AA$12-MAX($AA$12-AM41,0)*$AA$7,0)</f>
        <v>0</v>
      </c>
      <c r="AH41" s="83">
        <f>AB41+AC41-AD41-AE41-AF41+AG41</f>
        <v>29.292859052847444</v>
      </c>
      <c r="AI41" s="83">
        <f>AI40+AH41</f>
        <v>92.664431468812069</v>
      </c>
      <c r="AJ41" s="83">
        <f>AH41/(1+$AA$9)^W41</f>
        <v>10.266968396391301</v>
      </c>
      <c r="AK41" s="83">
        <f>AK40+AJ41</f>
        <v>-38.552574460029049</v>
      </c>
      <c r="AL41" s="83">
        <f>AM40</f>
        <v>80.666666666666657</v>
      </c>
      <c r="AM41" s="83">
        <f>MAX(AL41+AD41-Y41,0)</f>
        <v>67.999999999999986</v>
      </c>
      <c r="AN41" s="83">
        <f>AL41+$AA$10</f>
        <v>107.73035144584316</v>
      </c>
      <c r="AO41" s="83">
        <f>AM41+$AA$10</f>
        <v>95.063684779176469</v>
      </c>
      <c r="AP41" s="84">
        <f>IF(AVERAGE(AN41:AO41)&gt;0,AB41/AVERAGE(AN41:AO41),"Não aplicável")</f>
        <v>0.16397121627119651</v>
      </c>
      <c r="AQ41" s="84">
        <f>IF(AVERAGE(AN41:AO41)&gt;0,Z41/AVERAGE(AN41:AO41),"Não aplicável")</f>
        <v>0.24844123677454019</v>
      </c>
      <c r="AR41" s="85" t="str">
        <f>IF(AND(COUNT($AR$30:AR40)=0,AI40&lt;0,AI41&gt;=0,AH41&gt;0),W41-1-AI40/AH41,"")</f>
        <v/>
      </c>
      <c r="AS41" s="85" t="str">
        <f>IF(AND(COUNT($AS$30:AS40)=0,AK40&lt;0,AK41&gt;=0,AJ41&gt;0),W41-1-AK40/AJ41,"")</f>
        <v/>
      </c>
      <c r="AT41" s="84">
        <f>IF(AVERAGE(AN41:AO41)&gt;0,AB41/AVERAGE(AN41:AO41),"Não aplicável")</f>
        <v>0.16397121627119651</v>
      </c>
      <c r="AU41" s="84">
        <f>IF($AA$5&gt;0,X41/$AA$5,"Não aplicável")</f>
        <v>0.19928933625894529</v>
      </c>
    </row>
    <row r="42" spans="1:47" ht="15.75" customHeight="1" x14ac:dyDescent="0.3">
      <c r="A42" s="54"/>
      <c r="B42" s="96" t="s">
        <v>56</v>
      </c>
      <c r="C42" s="97"/>
      <c r="D42" s="97"/>
      <c r="E42" s="96"/>
      <c r="F42" s="55">
        <f>Q10/O28</f>
        <v>1999.999999999952</v>
      </c>
      <c r="G42" s="58" t="s">
        <v>57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6"/>
      <c r="W42" s="71">
        <v>12</v>
      </c>
      <c r="X42" s="77">
        <f>$AA$6</f>
        <v>39.85786725178906</v>
      </c>
      <c r="Y42" s="77">
        <f>IF(W42&lt;=$AA$8,$AA$5/$AA$8,0)+$AA$11/$AA$8*MIN(W42-1,$AA$8)</f>
        <v>14.8</v>
      </c>
      <c r="Z42" s="77">
        <f>X42-Y42</f>
        <v>25.057867251789059</v>
      </c>
      <c r="AA42" s="77">
        <f>MAX(Z42,0)*$AA$7</f>
        <v>8.5196748656082804</v>
      </c>
      <c r="AB42" s="77">
        <f>Z42-AA42</f>
        <v>16.538192386180778</v>
      </c>
      <c r="AC42" s="77">
        <f>Y42</f>
        <v>14.8</v>
      </c>
      <c r="AD42" s="77">
        <f>$AA$11</f>
        <v>2</v>
      </c>
      <c r="AE42" s="77">
        <f>IF(W42=20,-$AA$10,0)</f>
        <v>0</v>
      </c>
      <c r="AF42" s="77">
        <f>0</f>
        <v>0</v>
      </c>
      <c r="AG42" s="77">
        <f>IF(W42=20,$AA$12-MAX($AA$12-AM42,0)*$AA$7,0)</f>
        <v>0</v>
      </c>
      <c r="AH42" s="77">
        <f>AB42+AC42-AD42-AE42-AF42+AG42</f>
        <v>29.338192386180779</v>
      </c>
      <c r="AI42" s="77">
        <f>AI41+AH42</f>
        <v>122.00262385499285</v>
      </c>
      <c r="AJ42" s="77">
        <f>AH42/(1+$AA$9)^W42</f>
        <v>9.3480522301525379</v>
      </c>
      <c r="AK42" s="77">
        <f>AK41+AJ42</f>
        <v>-29.20452222987651</v>
      </c>
      <c r="AL42" s="77">
        <f>AM41</f>
        <v>67.999999999999986</v>
      </c>
      <c r="AM42" s="77">
        <f>MAX(AL42+AD42-Y42,0)</f>
        <v>55.199999999999989</v>
      </c>
      <c r="AN42" s="77">
        <f>AL42+$AA$10</f>
        <v>95.063684779176469</v>
      </c>
      <c r="AO42" s="77">
        <f>AM42+$AA$10</f>
        <v>82.263684779176486</v>
      </c>
      <c r="AP42" s="76">
        <f>IF(AVERAGE(AN42:AO42)&gt;0,AB42/AVERAGE(AN42:AO42),"Não aplicável")</f>
        <v>0.18652723973034033</v>
      </c>
      <c r="AQ42" s="76">
        <f>IF(AVERAGE(AN42:AO42)&gt;0,Z42/AVERAGE(AN42:AO42),"Não aplicável")</f>
        <v>0.28261702989445509</v>
      </c>
      <c r="AR42" s="78" t="str">
        <f>IF(AND(COUNT($AR$30:AR41)=0,AI41&lt;0,AI42&gt;=0,AH42&gt;0),W42-1-AI41/AH42,"")</f>
        <v/>
      </c>
      <c r="AS42" s="78" t="str">
        <f>IF(AND(COUNT($AS$30:AS41)=0,AK41&lt;0,AK42&gt;=0,AJ42&gt;0),W42-1-AK41/AJ42,"")</f>
        <v/>
      </c>
      <c r="AT42" s="76">
        <f>IF(AVERAGE(AN42:AO42)&gt;0,AB42/AVERAGE(AN42:AO42),"Não aplicável")</f>
        <v>0.18652723973034033</v>
      </c>
      <c r="AU42" s="76">
        <f>IF($AA$5&gt;0,X42/$AA$5,"Não aplicável")</f>
        <v>0.19928933625894529</v>
      </c>
    </row>
    <row r="43" spans="1:47" ht="15.75" customHeight="1" x14ac:dyDescent="0.3">
      <c r="A43" s="54"/>
      <c r="B43" s="96" t="s">
        <v>80</v>
      </c>
      <c r="C43" s="97"/>
      <c r="D43" s="97"/>
      <c r="E43" s="96"/>
      <c r="F43" s="61">
        <f>F36/F35*100</f>
        <v>8.3012642576592572</v>
      </c>
      <c r="G43" s="58" t="s">
        <v>58</v>
      </c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6"/>
      <c r="W43" s="82">
        <v>13</v>
      </c>
      <c r="X43" s="83">
        <f>$AA$6</f>
        <v>39.85786725178906</v>
      </c>
      <c r="Y43" s="83">
        <f>IF(W43&lt;=$AA$8,$AA$5/$AA$8,0)+$AA$11/$AA$8*MIN(W43-1,$AA$8)</f>
        <v>14.933333333333334</v>
      </c>
      <c r="Z43" s="83">
        <f>X43-Y43</f>
        <v>24.924533918455726</v>
      </c>
      <c r="AA43" s="83">
        <f>MAX(Z43,0)*$AA$7</f>
        <v>8.4743415322749467</v>
      </c>
      <c r="AB43" s="83">
        <f>Z43-AA43</f>
        <v>16.450192386180781</v>
      </c>
      <c r="AC43" s="83">
        <f>Y43</f>
        <v>14.933333333333334</v>
      </c>
      <c r="AD43" s="83">
        <f>$AA$11</f>
        <v>2</v>
      </c>
      <c r="AE43" s="83">
        <f>IF(W43=20,-$AA$10,0)</f>
        <v>0</v>
      </c>
      <c r="AF43" s="83">
        <f>0</f>
        <v>0</v>
      </c>
      <c r="AG43" s="83">
        <f>IF(W43=20,$AA$12-MAX($AA$12-AM43,0)*$AA$7,0)</f>
        <v>0</v>
      </c>
      <c r="AH43" s="83">
        <f>AB43+AC43-AD43-AE43-AF43+AG43</f>
        <v>29.383525719514115</v>
      </c>
      <c r="AI43" s="83">
        <f>AI42+AH43</f>
        <v>151.38614957450696</v>
      </c>
      <c r="AJ43" s="83">
        <f>AH43/(1+$AA$9)^W43</f>
        <v>8.5113607520200674</v>
      </c>
      <c r="AK43" s="83">
        <f>AK42+AJ43</f>
        <v>-20.693161477856442</v>
      </c>
      <c r="AL43" s="83">
        <f>AM42</f>
        <v>55.199999999999989</v>
      </c>
      <c r="AM43" s="83">
        <f>MAX(AL43+AD43-Y43,0)</f>
        <v>42.266666666666652</v>
      </c>
      <c r="AN43" s="83">
        <f>AL43+$AA$10</f>
        <v>82.263684779176486</v>
      </c>
      <c r="AO43" s="83">
        <f>AM43+$AA$10</f>
        <v>69.330351445843149</v>
      </c>
      <c r="AP43" s="84">
        <f>IF(AVERAGE(AN43:AO43)&gt;0,AB43/AVERAGE(AN43:AO43),"Não aplicável")</f>
        <v>0.21702954543360567</v>
      </c>
      <c r="AQ43" s="84">
        <f>IF(AVERAGE(AN43:AO43)&gt;0,Z43/AVERAGE(AN43:AO43),"Não aplicável")</f>
        <v>0.32883264459637218</v>
      </c>
      <c r="AR43" s="85" t="str">
        <f>IF(AND(COUNT($AR$30:AR42)=0,AI42&lt;0,AI43&gt;=0,AH43&gt;0),W43-1-AI42/AH43,"")</f>
        <v/>
      </c>
      <c r="AS43" s="85" t="str">
        <f>IF(AND(COUNT($AS$30:AS42)=0,AK42&lt;0,AK43&gt;=0,AJ43&gt;0),W43-1-AK42/AJ43,"")</f>
        <v/>
      </c>
      <c r="AT43" s="84">
        <f>IF(AVERAGE(AN43:AO43)&gt;0,AB43/AVERAGE(AN43:AO43),"Não aplicável")</f>
        <v>0.21702954543360567</v>
      </c>
      <c r="AU43" s="84">
        <f>IF($AA$5&gt;0,X43/$AA$5,"Não aplicável")</f>
        <v>0.19928933625894529</v>
      </c>
    </row>
    <row r="44" spans="1:47" ht="15.75" customHeight="1" x14ac:dyDescent="0.3">
      <c r="A44" s="54"/>
      <c r="B44" s="96" t="s">
        <v>59</v>
      </c>
      <c r="C44" s="97"/>
      <c r="D44" s="97"/>
      <c r="E44" s="96"/>
      <c r="F44" s="68">
        <f>F36/Q10*1000000</f>
        <v>39.857867251790019</v>
      </c>
      <c r="G44" s="58" t="s">
        <v>60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6"/>
      <c r="W44" s="71">
        <v>14</v>
      </c>
      <c r="X44" s="77">
        <f>$AA$6</f>
        <v>39.85786725178906</v>
      </c>
      <c r="Y44" s="77">
        <f>IF(W44&lt;=$AA$8,$AA$5/$AA$8,0)+$AA$11/$AA$8*MIN(W44-1,$AA$8)</f>
        <v>15.066666666666666</v>
      </c>
      <c r="Z44" s="77">
        <f>X44-Y44</f>
        <v>24.791200585122393</v>
      </c>
      <c r="AA44" s="77">
        <f>MAX(Z44,0)*$AA$7</f>
        <v>8.4290081989416148</v>
      </c>
      <c r="AB44" s="77">
        <f>Z44-AA44</f>
        <v>16.36219238618078</v>
      </c>
      <c r="AC44" s="77">
        <f>Y44</f>
        <v>15.066666666666666</v>
      </c>
      <c r="AD44" s="77">
        <f>$AA$11</f>
        <v>2</v>
      </c>
      <c r="AE44" s="77">
        <f>IF(W44=20,-$AA$10,0)</f>
        <v>0</v>
      </c>
      <c r="AF44" s="77">
        <f>0</f>
        <v>0</v>
      </c>
      <c r="AG44" s="77">
        <f>IF(W44=20,$AA$12-MAX($AA$12-AM44,0)*$AA$7,0)</f>
        <v>0</v>
      </c>
      <c r="AH44" s="77">
        <f>AB44+AC44-AD44-AE44-AF44+AG44</f>
        <v>29.428859052847447</v>
      </c>
      <c r="AI44" s="77">
        <f>AI43+AH44</f>
        <v>180.81500862735442</v>
      </c>
      <c r="AJ44" s="77">
        <f>AH44/(1+$AA$9)^W44</f>
        <v>7.7495383671831481</v>
      </c>
      <c r="AK44" s="77">
        <f>AK43+AJ44</f>
        <v>-12.943623110673293</v>
      </c>
      <c r="AL44" s="77">
        <f>AM43</f>
        <v>42.266666666666652</v>
      </c>
      <c r="AM44" s="77">
        <f>MAX(AL44+AD44-Y44,0)</f>
        <v>29.199999999999985</v>
      </c>
      <c r="AN44" s="77">
        <f>AL44+$AA$10</f>
        <v>69.330351445843149</v>
      </c>
      <c r="AO44" s="77">
        <f>AM44+$AA$10</f>
        <v>56.263684779176472</v>
      </c>
      <c r="AP44" s="76">
        <f>IF(AVERAGE(AN44:AO44)&gt;0,AB44/AVERAGE(AN44:AO44),"Não aplicável")</f>
        <v>0.26055683658204248</v>
      </c>
      <c r="AQ44" s="76">
        <f>IF(AVERAGE(AN44:AO44)&gt;0,Z44/AVERAGE(AN44:AO44),"Não aplicável")</f>
        <v>0.39478308573036736</v>
      </c>
      <c r="AR44" s="78" t="str">
        <f>IF(AND(COUNT($AR$30:AR43)=0,AI43&lt;0,AI44&gt;=0,AH44&gt;0),W44-1-AI43/AH44,"")</f>
        <v/>
      </c>
      <c r="AS44" s="78" t="str">
        <f>IF(AND(COUNT($AS$30:AS43)=0,AK43&lt;0,AK44&gt;=0,AJ44&gt;0),W44-1-AK43/AJ44,"")</f>
        <v/>
      </c>
      <c r="AT44" s="76">
        <f>IF(AVERAGE(AN44:AO44)&gt;0,AB44/AVERAGE(AN44:AO44),"Não aplicável")</f>
        <v>0.26055683658204248</v>
      </c>
      <c r="AU44" s="76">
        <f>IF($AA$5&gt;0,X44/$AA$5,"Não aplicável")</f>
        <v>0.19928933625894529</v>
      </c>
    </row>
    <row r="45" spans="1:47" ht="15.75" customHeight="1" x14ac:dyDescent="0.3">
      <c r="A45" s="54"/>
      <c r="B45" s="96" t="s">
        <v>61</v>
      </c>
      <c r="C45" s="97"/>
      <c r="D45" s="97"/>
      <c r="E45" s="96"/>
      <c r="F45" s="68">
        <f>F36/F1*1000000</f>
        <v>280.99517863349388</v>
      </c>
      <c r="G45" s="58" t="s">
        <v>62</v>
      </c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6"/>
      <c r="W45" s="82">
        <v>15</v>
      </c>
      <c r="X45" s="83">
        <f>$AA$6</f>
        <v>39.85786725178906</v>
      </c>
      <c r="Y45" s="83">
        <f>IF(W45&lt;=$AA$8,$AA$5/$AA$8,0)+$AA$11/$AA$8*MIN(W45-1,$AA$8)</f>
        <v>15.200000000000001</v>
      </c>
      <c r="Z45" s="83">
        <f>X45-Y45</f>
        <v>24.657867251789057</v>
      </c>
      <c r="AA45" s="83">
        <f>MAX(Z45,0)*$AA$7</f>
        <v>8.3836748656082793</v>
      </c>
      <c r="AB45" s="83">
        <f>Z45-AA45</f>
        <v>16.274192386180779</v>
      </c>
      <c r="AC45" s="83">
        <f>Y45</f>
        <v>15.200000000000001</v>
      </c>
      <c r="AD45" s="83">
        <f>$AA$11</f>
        <v>2</v>
      </c>
      <c r="AE45" s="83">
        <f>IF(W45=20,-$AA$10,0)</f>
        <v>0</v>
      </c>
      <c r="AF45" s="83">
        <f>0</f>
        <v>0</v>
      </c>
      <c r="AG45" s="83">
        <f>IF(W45=20,$AA$12-MAX($AA$12-AM45,0)*$AA$7,0)</f>
        <v>0</v>
      </c>
      <c r="AH45" s="83">
        <f>AB45+AC45-AD45-AE45-AF45+AG45</f>
        <v>29.474192386180782</v>
      </c>
      <c r="AI45" s="83">
        <f>AI44+AH45</f>
        <v>210.28920101353521</v>
      </c>
      <c r="AJ45" s="83">
        <f>AH45/(1+$AA$9)^W45</f>
        <v>7.0558873188288098</v>
      </c>
      <c r="AK45" s="83">
        <f>AK44+AJ45</f>
        <v>-5.8877357918444835</v>
      </c>
      <c r="AL45" s="83">
        <f>AM44</f>
        <v>29.199999999999985</v>
      </c>
      <c r="AM45" s="83">
        <f>MAX(AL45+AD45-Y45,0)</f>
        <v>15.999999999999984</v>
      </c>
      <c r="AN45" s="83">
        <f>AL45+$AA$10</f>
        <v>56.263684779176472</v>
      </c>
      <c r="AO45" s="83">
        <f>AM45+$AA$10</f>
        <v>43.063684779176477</v>
      </c>
      <c r="AP45" s="84">
        <f>IF(AVERAGE(AN45:AO45)&gt;0,AB45/AVERAGE(AN45:AO45),"Não aplicável")</f>
        <v>0.32768797680925194</v>
      </c>
      <c r="AQ45" s="84">
        <f>IF(AVERAGE(AN45:AO45)&gt;0,Z45/AVERAGE(AN45:AO45),"Não aplicável")</f>
        <v>0.49649693455947252</v>
      </c>
      <c r="AR45" s="85" t="str">
        <f>IF(AND(COUNT($AR$30:AR44)=0,AI44&lt;0,AI45&gt;=0,AH45&gt;0),W45-1-AI44/AH45,"")</f>
        <v/>
      </c>
      <c r="AS45" s="85" t="str">
        <f>IF(AND(COUNT($AS$30:AS44)=0,AK44&lt;0,AK45&gt;=0,AJ45&gt;0),W45-1-AK44/AJ45,"")</f>
        <v/>
      </c>
      <c r="AT45" s="84">
        <f>IF(AVERAGE(AN45:AO45)&gt;0,AB45/AVERAGE(AN45:AO45),"Não aplicável")</f>
        <v>0.32768797680925194</v>
      </c>
      <c r="AU45" s="84">
        <f>IF($AA$5&gt;0,X45/$AA$5,"Não aplicável")</f>
        <v>0.19928933625894529</v>
      </c>
    </row>
    <row r="46" spans="1:47" ht="15.75" customHeight="1" x14ac:dyDescent="0.3">
      <c r="A46" s="54"/>
      <c r="B46" s="96" t="s">
        <v>81</v>
      </c>
      <c r="C46" s="97"/>
      <c r="D46" s="97"/>
      <c r="E46" s="96"/>
      <c r="F46" s="61">
        <f>F36/F37*100</f>
        <v>19.92893362589453</v>
      </c>
      <c r="G46" s="58" t="s">
        <v>58</v>
      </c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6"/>
      <c r="W46" s="71">
        <v>16</v>
      </c>
      <c r="X46" s="77">
        <f>$AA$6</f>
        <v>39.85786725178906</v>
      </c>
      <c r="Y46" s="77">
        <f>IF(W46&lt;=$AA$8,$AA$5/$AA$8,0)+$AA$11/$AA$8*MIN(W46-1,$AA$8)</f>
        <v>2</v>
      </c>
      <c r="Z46" s="77">
        <f>X46-Y46</f>
        <v>37.85786725178906</v>
      </c>
      <c r="AA46" s="77">
        <f>MAX(Z46,0)*$AA$7</f>
        <v>12.871674865608281</v>
      </c>
      <c r="AB46" s="77">
        <f>Z46-AA46</f>
        <v>24.986192386180779</v>
      </c>
      <c r="AC46" s="77">
        <f>Y46</f>
        <v>2</v>
      </c>
      <c r="AD46" s="77">
        <f>$AA$11</f>
        <v>2</v>
      </c>
      <c r="AE46" s="77">
        <f>IF(W46=20,-$AA$10,0)</f>
        <v>0</v>
      </c>
      <c r="AF46" s="77">
        <f>0</f>
        <v>0</v>
      </c>
      <c r="AG46" s="77">
        <f>IF(W46=20,$AA$12-MAX($AA$12-AM46,0)*$AA$7,0)</f>
        <v>0</v>
      </c>
      <c r="AH46" s="77">
        <f>AB46+AC46-AD46-AE46-AF46+AG46</f>
        <v>24.986192386180779</v>
      </c>
      <c r="AI46" s="77">
        <f>AI45+AH46</f>
        <v>235.27539339971599</v>
      </c>
      <c r="AJ46" s="77">
        <f>AH46/(1+$AA$9)^W46</f>
        <v>5.4377234556909118</v>
      </c>
      <c r="AK46" s="77">
        <f>AK45+AJ46</f>
        <v>-0.45001233615357172</v>
      </c>
      <c r="AL46" s="77">
        <f>AM45</f>
        <v>15.999999999999984</v>
      </c>
      <c r="AM46" s="77">
        <f>MAX(AL46+AD46-Y46,0)</f>
        <v>15.999999999999986</v>
      </c>
      <c r="AN46" s="77">
        <f>AL46+$AA$10</f>
        <v>43.063684779176477</v>
      </c>
      <c r="AO46" s="77">
        <f>AM46+$AA$10</f>
        <v>43.063684779176477</v>
      </c>
      <c r="AP46" s="76">
        <f>IF(AVERAGE(AN46:AO46)&gt;0,AB46/AVERAGE(AN46:AO46),"Não aplicável")</f>
        <v>0.58021491923661161</v>
      </c>
      <c r="AQ46" s="76">
        <f>IF(AVERAGE(AN46:AO46)&gt;0,Z46/AVERAGE(AN46:AO46),"Não aplicável")</f>
        <v>0.87911351399486604</v>
      </c>
      <c r="AR46" s="78" t="str">
        <f>IF(AND(COUNT($AR$30:AR45)=0,AI45&lt;0,AI46&gt;=0,AH46&gt;0),W46-1-AI45/AH46,"")</f>
        <v/>
      </c>
      <c r="AS46" s="78" t="str">
        <f>IF(AND(COUNT($AS$30:AS45)=0,AK45&lt;0,AK46&gt;=0,AJ46&gt;0),W46-1-AK45/AJ46,"")</f>
        <v/>
      </c>
      <c r="AT46" s="76">
        <f>IF(AVERAGE(AN46:AO46)&gt;0,AB46/AVERAGE(AN46:AO46),"Não aplicável")</f>
        <v>0.58021491923661161</v>
      </c>
      <c r="AU46" s="76">
        <f>IF($AA$5&gt;0,X46/$AA$5,"Não aplicável")</f>
        <v>0.19928933625894529</v>
      </c>
    </row>
    <row r="47" spans="1:47" ht="15.75" customHeight="1" x14ac:dyDescent="0.3">
      <c r="A47" s="54"/>
      <c r="B47" s="109" t="s">
        <v>63</v>
      </c>
      <c r="C47" s="97"/>
      <c r="D47" s="97"/>
      <c r="E47" s="109"/>
      <c r="F47" s="64">
        <v>34</v>
      </c>
      <c r="G47" s="59" t="s">
        <v>58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6"/>
      <c r="W47" s="82">
        <v>17</v>
      </c>
      <c r="X47" s="83">
        <f>$AA$6</f>
        <v>39.85786725178906</v>
      </c>
      <c r="Y47" s="83">
        <f>IF(W47&lt;=$AA$8,$AA$5/$AA$8,0)+$AA$11/$AA$8*MIN(W47-1,$AA$8)</f>
        <v>2</v>
      </c>
      <c r="Z47" s="83">
        <f>X47-Y47</f>
        <v>37.85786725178906</v>
      </c>
      <c r="AA47" s="83">
        <f>MAX(Z47,0)*$AA$7</f>
        <v>12.871674865608281</v>
      </c>
      <c r="AB47" s="83">
        <f>Z47-AA47</f>
        <v>24.986192386180779</v>
      </c>
      <c r="AC47" s="83">
        <f>Y47</f>
        <v>2</v>
      </c>
      <c r="AD47" s="83">
        <f>$AA$11</f>
        <v>2</v>
      </c>
      <c r="AE47" s="83">
        <f>IF(W47=20,-$AA$10,0)</f>
        <v>0</v>
      </c>
      <c r="AF47" s="83">
        <f>0</f>
        <v>0</v>
      </c>
      <c r="AG47" s="83">
        <f>IF(W47=20,$AA$12-MAX($AA$12-AM47,0)*$AA$7,0)</f>
        <v>0</v>
      </c>
      <c r="AH47" s="83">
        <f>AB47+AC47-AD47-AE47-AF47+AG47</f>
        <v>24.986192386180779</v>
      </c>
      <c r="AI47" s="83">
        <f>AI46+AH47</f>
        <v>260.26158578589678</v>
      </c>
      <c r="AJ47" s="83">
        <f>AH47/(1+$AA$9)^W47</f>
        <v>4.9433849597190109</v>
      </c>
      <c r="AK47" s="83">
        <f>AK46+AJ47</f>
        <v>4.4933726235654392</v>
      </c>
      <c r="AL47" s="83">
        <f>AM46</f>
        <v>15.999999999999986</v>
      </c>
      <c r="AM47" s="83">
        <f>MAX(AL47+AD47-Y47,0)</f>
        <v>15.999999999999986</v>
      </c>
      <c r="AN47" s="83">
        <f>AL47+$AA$10</f>
        <v>43.063684779176477</v>
      </c>
      <c r="AO47" s="83">
        <f>AM47+$AA$10</f>
        <v>43.063684779176477</v>
      </c>
      <c r="AP47" s="84">
        <f>IF(AVERAGE(AN47:AO47)&gt;0,AB47/AVERAGE(AN47:AO47),"Não aplicável")</f>
        <v>0.58021491923661161</v>
      </c>
      <c r="AQ47" s="84">
        <f>IF(AVERAGE(AN47:AO47)&gt;0,Z47/AVERAGE(AN47:AO47),"Não aplicável")</f>
        <v>0.87911351399486604</v>
      </c>
      <c r="AR47" s="85" t="str">
        <f>IF(AND(COUNT($AR$30:AR46)=0,AI46&lt;0,AI47&gt;=0,AH47&gt;0),W47-1-AI46/AH47,"")</f>
        <v/>
      </c>
      <c r="AS47" s="85">
        <f>IF(AND(COUNT($AS$30:AS46)=0,AK46&lt;0,AK47&gt;=0,AJ47&gt;0),W47-1-AK46/AJ47,"")</f>
        <v>16.09103323731016</v>
      </c>
      <c r="AT47" s="84">
        <f>IF(AVERAGE(AN47:AO47)&gt;0,AB47/AVERAGE(AN47:AO47),"Não aplicável")</f>
        <v>0.58021491923661161</v>
      </c>
      <c r="AU47" s="84">
        <f>IF($AA$5&gt;0,X47/$AA$5,"Não aplicável")</f>
        <v>0.19928933625894529</v>
      </c>
    </row>
    <row r="48" spans="1:47" ht="15.75" customHeight="1" x14ac:dyDescent="0.3">
      <c r="A48" s="54"/>
      <c r="B48" s="96" t="s">
        <v>82</v>
      </c>
      <c r="C48" s="97"/>
      <c r="D48" s="97"/>
      <c r="E48" s="96"/>
      <c r="F48" s="87">
        <f>'Etanol de Cana de Açúcar'!AA22*100</f>
        <v>7.9071491275842103</v>
      </c>
      <c r="G48" s="58" t="s">
        <v>58</v>
      </c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6"/>
      <c r="W48" s="71">
        <v>18</v>
      </c>
      <c r="X48" s="77">
        <f>$AA$6</f>
        <v>39.85786725178906</v>
      </c>
      <c r="Y48" s="77">
        <f>IF(W48&lt;=$AA$8,$AA$5/$AA$8,0)+$AA$11/$AA$8*MIN(W48-1,$AA$8)</f>
        <v>2</v>
      </c>
      <c r="Z48" s="77">
        <f>X48-Y48</f>
        <v>37.85786725178906</v>
      </c>
      <c r="AA48" s="77">
        <f>MAX(Z48,0)*$AA$7</f>
        <v>12.871674865608281</v>
      </c>
      <c r="AB48" s="77">
        <f>Z48-AA48</f>
        <v>24.986192386180779</v>
      </c>
      <c r="AC48" s="77">
        <f>Y48</f>
        <v>2</v>
      </c>
      <c r="AD48" s="77">
        <f>$AA$11</f>
        <v>2</v>
      </c>
      <c r="AE48" s="77">
        <f>IF(W48=20,-$AA$10,0)</f>
        <v>0</v>
      </c>
      <c r="AF48" s="77">
        <f>0</f>
        <v>0</v>
      </c>
      <c r="AG48" s="77">
        <f>IF(W48=20,$AA$12-MAX($AA$12-AM48,0)*$AA$7,0)</f>
        <v>0</v>
      </c>
      <c r="AH48" s="77">
        <f>AB48+AC48-AD48-AE48-AF48+AG48</f>
        <v>24.986192386180779</v>
      </c>
      <c r="AI48" s="77">
        <f>AI47+AH48</f>
        <v>285.24777817207757</v>
      </c>
      <c r="AJ48" s="77">
        <f>AH48/(1+$AA$9)^W48</f>
        <v>4.4939863270172822</v>
      </c>
      <c r="AK48" s="77">
        <f>AK47+AJ48</f>
        <v>8.9873589505827205</v>
      </c>
      <c r="AL48" s="77">
        <f>AM47</f>
        <v>15.999999999999986</v>
      </c>
      <c r="AM48" s="77">
        <f>MAX(AL48+AD48-Y48,0)</f>
        <v>15.999999999999986</v>
      </c>
      <c r="AN48" s="77">
        <f>AL48+$AA$10</f>
        <v>43.063684779176477</v>
      </c>
      <c r="AO48" s="77">
        <f>AM48+$AA$10</f>
        <v>43.063684779176477</v>
      </c>
      <c r="AP48" s="76">
        <f>IF(AVERAGE(AN48:AO48)&gt;0,AB48/AVERAGE(AN48:AO48),"Não aplicável")</f>
        <v>0.58021491923661161</v>
      </c>
      <c r="AQ48" s="76">
        <f>IF(AVERAGE(AN48:AO48)&gt;0,Z48/AVERAGE(AN48:AO48),"Não aplicável")</f>
        <v>0.87911351399486604</v>
      </c>
      <c r="AR48" s="78" t="str">
        <f>IF(AND(COUNT($AR$30:AR47)=0,AI47&lt;0,AI48&gt;=0,AH48&gt;0),W48-1-AI47/AH48,"")</f>
        <v/>
      </c>
      <c r="AS48" s="78" t="str">
        <f>IF(AND(COUNT($AS$30:AS47)=0,AK47&lt;0,AK48&gt;=0,AJ48&gt;0),W48-1-AK47/AJ48,"")</f>
        <v/>
      </c>
      <c r="AT48" s="76">
        <f>IF(AVERAGE(AN48:AO48)&gt;0,AB48/AVERAGE(AN48:AO48),"Não aplicável")</f>
        <v>0.58021491923661161</v>
      </c>
      <c r="AU48" s="76">
        <f>IF($AA$5&gt;0,X48/$AA$5,"Não aplicável")</f>
        <v>0.19928933625894529</v>
      </c>
    </row>
    <row r="49" spans="1:47" ht="15.75" customHeight="1" x14ac:dyDescent="0.3">
      <c r="A49" s="54"/>
      <c r="B49" s="96" t="s">
        <v>83</v>
      </c>
      <c r="C49" s="97"/>
      <c r="D49" s="97"/>
      <c r="E49" s="96"/>
      <c r="F49" s="61">
        <f>'Etanol de Cana de Açúcar'!AA16</f>
        <v>20.809683646122608</v>
      </c>
      <c r="G49" s="58" t="s">
        <v>11</v>
      </c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6"/>
      <c r="W49" s="82">
        <v>19</v>
      </c>
      <c r="X49" s="83">
        <f>$AA$6</f>
        <v>39.85786725178906</v>
      </c>
      <c r="Y49" s="83">
        <f>IF(W49&lt;=$AA$8,$AA$5/$AA$8,0)+$AA$11/$AA$8*MIN(W49-1,$AA$8)</f>
        <v>2</v>
      </c>
      <c r="Z49" s="83">
        <f>X49-Y49</f>
        <v>37.85786725178906</v>
      </c>
      <c r="AA49" s="83">
        <f>MAX(Z49,0)*$AA$7</f>
        <v>12.871674865608281</v>
      </c>
      <c r="AB49" s="83">
        <f>Z49-AA49</f>
        <v>24.986192386180779</v>
      </c>
      <c r="AC49" s="83">
        <f>Y49</f>
        <v>2</v>
      </c>
      <c r="AD49" s="83">
        <f>$AA$11</f>
        <v>2</v>
      </c>
      <c r="AE49" s="83">
        <f>IF(W49=20,-$AA$10,0)</f>
        <v>0</v>
      </c>
      <c r="AF49" s="83">
        <f>0</f>
        <v>0</v>
      </c>
      <c r="AG49" s="83">
        <f>IF(W49=20,$AA$12-MAX($AA$12-AM49,0)*$AA$7,0)</f>
        <v>0</v>
      </c>
      <c r="AH49" s="83">
        <f>AB49+AC49-AD49-AE49-AF49+AG49</f>
        <v>24.986192386180779</v>
      </c>
      <c r="AI49" s="83">
        <f>AI48+AH49</f>
        <v>310.23397055825836</v>
      </c>
      <c r="AJ49" s="83">
        <f>AH49/(1+$AA$9)^W49</f>
        <v>4.085442115470256</v>
      </c>
      <c r="AK49" s="83">
        <f>AK48+AJ49</f>
        <v>13.072801066052977</v>
      </c>
      <c r="AL49" s="83">
        <f>AM48</f>
        <v>15.999999999999986</v>
      </c>
      <c r="AM49" s="83">
        <f>MAX(AL49+AD49-Y49,0)</f>
        <v>15.999999999999986</v>
      </c>
      <c r="AN49" s="83">
        <f>AL49+$AA$10</f>
        <v>43.063684779176477</v>
      </c>
      <c r="AO49" s="83">
        <f>AM49+$AA$10</f>
        <v>43.063684779176477</v>
      </c>
      <c r="AP49" s="84">
        <f>IF(AVERAGE(AN49:AO49)&gt;0,AB49/AVERAGE(AN49:AO49),"Não aplicável")</f>
        <v>0.58021491923661161</v>
      </c>
      <c r="AQ49" s="84">
        <f>IF(AVERAGE(AN49:AO49)&gt;0,Z49/AVERAGE(AN49:AO49),"Não aplicável")</f>
        <v>0.87911351399486604</v>
      </c>
      <c r="AR49" s="85" t="str">
        <f>IF(AND(COUNT($AR$30:AR48)=0,AI48&lt;0,AI49&gt;=0,AH49&gt;0),W49-1-AI48/AH49,"")</f>
        <v/>
      </c>
      <c r="AS49" s="85" t="str">
        <f>IF(AND(COUNT($AS$30:AS48)=0,AK48&lt;0,AK49&gt;=0,AJ49&gt;0),W49-1-AK48/AJ49,"")</f>
        <v/>
      </c>
      <c r="AT49" s="84">
        <f>IF(AVERAGE(AN49:AO49)&gt;0,AB49/AVERAGE(AN49:AO49),"Não aplicável")</f>
        <v>0.58021491923661161</v>
      </c>
      <c r="AU49" s="84">
        <f>IF($AA$5&gt;0,X49/$AA$5,"Não aplicável")</f>
        <v>0.19928933625894529</v>
      </c>
    </row>
    <row r="50" spans="1:47" ht="15.75" customHeight="1" x14ac:dyDescent="0.3">
      <c r="A50" s="54"/>
      <c r="B50" s="99" t="s">
        <v>84</v>
      </c>
      <c r="C50" s="100"/>
      <c r="D50" s="100"/>
      <c r="E50" s="99"/>
      <c r="F50" s="92">
        <f>'Etanol de Cana de Açúcar'!AA5+'Etanol de Cana de Açúcar'!AA10</f>
        <v>227.0636847791765</v>
      </c>
      <c r="G50" s="105" t="s">
        <v>11</v>
      </c>
      <c r="H50" s="105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6"/>
      <c r="W50" s="71">
        <v>20</v>
      </c>
      <c r="X50" s="77">
        <f>$AA$6</f>
        <v>39.85786725178906</v>
      </c>
      <c r="Y50" s="77">
        <f>IF(W50&lt;=$AA$8,$AA$5/$AA$8,0)+$AA$11/$AA$8*MIN(W50-1,$AA$8)</f>
        <v>2</v>
      </c>
      <c r="Z50" s="77">
        <f>X50-Y50</f>
        <v>37.85786725178906</v>
      </c>
      <c r="AA50" s="77">
        <f>MAX(Z50,0)*$AA$7</f>
        <v>12.871674865608281</v>
      </c>
      <c r="AB50" s="77">
        <f>Z50-AA50</f>
        <v>24.986192386180779</v>
      </c>
      <c r="AC50" s="77">
        <f>Y50</f>
        <v>2</v>
      </c>
      <c r="AD50" s="77">
        <f>$AA$11</f>
        <v>2</v>
      </c>
      <c r="AE50" s="77">
        <f>IF(W50=20,-$AA$10,0)</f>
        <v>-27.063684779176491</v>
      </c>
      <c r="AF50" s="77">
        <f>0</f>
        <v>0</v>
      </c>
      <c r="AG50" s="77">
        <f>IF(W50=20,$AA$12-MAX($AA$12-AM50,0)*$AA$7,0)</f>
        <v>0</v>
      </c>
      <c r="AH50" s="77">
        <f>AB50+AC50-AD50-AE50-AF50+AG50</f>
        <v>52.049877165357273</v>
      </c>
      <c r="AI50" s="77">
        <f>AI49+AH50</f>
        <v>362.28384772361562</v>
      </c>
      <c r="AJ50" s="77">
        <f>AH50/(1+$AA$9)^W50</f>
        <v>7.736882580069727</v>
      </c>
      <c r="AK50" s="77">
        <f>AK49+AJ50</f>
        <v>20.809683646122703</v>
      </c>
      <c r="AL50" s="77">
        <f>AM49</f>
        <v>15.999999999999986</v>
      </c>
      <c r="AM50" s="77">
        <f>MAX(AL50+AD50-Y50,0)</f>
        <v>15.999999999999986</v>
      </c>
      <c r="AN50" s="77">
        <f>AL50+$AA$10</f>
        <v>43.063684779176477</v>
      </c>
      <c r="AO50" s="77">
        <f>AM50+$AA$10</f>
        <v>43.063684779176477</v>
      </c>
      <c r="AP50" s="76">
        <f>IF(AVERAGE(AN50:AO50)&gt;0,AB50/AVERAGE(AN50:AO50),"Não aplicável")</f>
        <v>0.58021491923661161</v>
      </c>
      <c r="AQ50" s="76">
        <f>IF(AVERAGE(AN50:AO50)&gt;0,Z50/AVERAGE(AN50:AO50),"Não aplicável")</f>
        <v>0.87911351399486604</v>
      </c>
      <c r="AR50" s="78" t="str">
        <f>IF(AND(COUNT($AR$30:AR49)=0,AI49&lt;0,AI50&gt;=0,AH50&gt;0),W50-1-AI49/AH50,"")</f>
        <v/>
      </c>
      <c r="AS50" s="78" t="str">
        <f>IF(AND(COUNT($AS$30:AS49)=0,AK49&lt;0,AK50&gt;=0,AJ50&gt;0),W50-1-AK49/AJ50,"")</f>
        <v/>
      </c>
      <c r="AT50" s="76">
        <f>IF(AVERAGE(AN50:AO50)&gt;0,AB50/AVERAGE(AN50:AO50),"Não aplicável")</f>
        <v>0.58021491923661161</v>
      </c>
      <c r="AU50" s="76">
        <f>IF($AA$5&gt;0,X50/$AA$5,"Não aplicável")</f>
        <v>0.19928933625894529</v>
      </c>
    </row>
    <row r="51" spans="1:47" ht="15.75" customHeight="1" x14ac:dyDescent="0.3">
      <c r="A51" s="54"/>
      <c r="B51" s="99" t="s">
        <v>85</v>
      </c>
      <c r="C51" s="100"/>
      <c r="D51" s="100"/>
      <c r="E51" s="99"/>
      <c r="F51" s="92">
        <f>('Etanol de Cana de Açúcar'!AA15-'Etanol de Cana de Açúcar'!AA9)*100</f>
        <v>1.3090990958403688</v>
      </c>
      <c r="G51" s="104" t="s">
        <v>86</v>
      </c>
      <c r="H51" s="10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6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</row>
    <row r="52" spans="1:47" ht="15.75" customHeight="1" x14ac:dyDescent="0.3">
      <c r="A52" s="54"/>
      <c r="B52" s="98" t="s">
        <v>87</v>
      </c>
      <c r="C52" s="98"/>
      <c r="D52" s="98"/>
      <c r="E52" s="98"/>
      <c r="F52" s="92">
        <f>V81</f>
        <v>36.169695958119092</v>
      </c>
      <c r="G52" s="105" t="s">
        <v>12</v>
      </c>
      <c r="H52" s="10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6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</row>
    <row r="53" spans="1:47" ht="15.75" customHeight="1" x14ac:dyDescent="0.3">
      <c r="A53" s="54"/>
      <c r="B53" s="99" t="s">
        <v>88</v>
      </c>
      <c r="C53" s="100"/>
      <c r="D53" s="100"/>
      <c r="E53" s="99"/>
      <c r="F53" s="92">
        <f>V82</f>
        <v>3.6881712936699671</v>
      </c>
      <c r="G53" s="105" t="s">
        <v>12</v>
      </c>
      <c r="H53" s="10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6"/>
      <c r="W53" s="115" t="s">
        <v>151</v>
      </c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</row>
    <row r="54" spans="1:47" ht="15.75" customHeight="1" x14ac:dyDescent="0.3">
      <c r="A54" s="54"/>
      <c r="B54" s="99" t="s">
        <v>89</v>
      </c>
      <c r="C54" s="100"/>
      <c r="D54" s="100"/>
      <c r="E54" s="99"/>
      <c r="F54" s="92">
        <f>V83*100</f>
        <v>9.2533081872423075</v>
      </c>
      <c r="G54" s="93" t="s">
        <v>58</v>
      </c>
      <c r="H54" s="91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6"/>
      <c r="W54" s="95" t="s">
        <v>152</v>
      </c>
      <c r="X54" s="95"/>
      <c r="Y54" s="95"/>
      <c r="Z54" s="95"/>
      <c r="AA54" s="72">
        <f>SUM('Etanol de Cana de Açúcar'!M19:M20)</f>
        <v>538.85451535601385</v>
      </c>
      <c r="AB54" s="112" t="s">
        <v>153</v>
      </c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</row>
    <row r="55" spans="1:47" ht="15.75" customHeight="1" x14ac:dyDescent="0.3">
      <c r="A55" s="54"/>
      <c r="B55" s="99" t="s">
        <v>90</v>
      </c>
      <c r="C55" s="100"/>
      <c r="D55" s="100"/>
      <c r="E55" s="99"/>
      <c r="F55" s="92">
        <f>F36/'Etanol de Cana de Açúcar'!AA54*100</f>
        <v>7.3967770735771809</v>
      </c>
      <c r="G55" s="93" t="s">
        <v>58</v>
      </c>
      <c r="H55" s="91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6"/>
      <c r="W55" s="95" t="s">
        <v>154</v>
      </c>
      <c r="X55" s="95"/>
      <c r="Y55" s="95"/>
      <c r="Z55" s="95"/>
      <c r="AA55" s="72">
        <f>AA54-AA6</f>
        <v>498.99664810422479</v>
      </c>
      <c r="AB55" s="94" t="s">
        <v>155</v>
      </c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</row>
    <row r="56" spans="1:47" ht="15.75" customHeight="1" x14ac:dyDescent="0.3">
      <c r="A56" s="54"/>
      <c r="B56" s="99" t="s">
        <v>91</v>
      </c>
      <c r="C56" s="100"/>
      <c r="D56" s="100"/>
      <c r="E56" s="99"/>
      <c r="F56" s="92">
        <f>'Etanol de Cana de Açúcar'!AA20*100</f>
        <v>7.9071491275842103</v>
      </c>
      <c r="G56" s="93" t="s">
        <v>58</v>
      </c>
      <c r="H56" s="91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6"/>
      <c r="W56" s="95" t="s">
        <v>156</v>
      </c>
      <c r="X56" s="95"/>
      <c r="Y56" s="95"/>
      <c r="Z56" s="95"/>
      <c r="AA56" s="72">
        <f>'Etanol de Cana de Açúcar'!M18</f>
        <v>388.87437921804292</v>
      </c>
      <c r="AB56" s="94" t="s">
        <v>157</v>
      </c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</row>
    <row r="57" spans="1:47" ht="15.75" customHeight="1" x14ac:dyDescent="0.3">
      <c r="A57" s="54"/>
      <c r="B57" s="99" t="s">
        <v>92</v>
      </c>
      <c r="C57" s="100"/>
      <c r="D57" s="100"/>
      <c r="E57" s="99"/>
      <c r="F57" s="92">
        <f>'Etanol de Cana de Açúcar'!AA21*100</f>
        <v>11.980528981188197</v>
      </c>
      <c r="G57" s="93" t="s">
        <v>58</v>
      </c>
      <c r="H57" s="91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6"/>
      <c r="W57" s="95" t="s">
        <v>158</v>
      </c>
      <c r="X57" s="95"/>
      <c r="Y57" s="95"/>
      <c r="Z57" s="95"/>
      <c r="AA57" s="74">
        <v>1</v>
      </c>
      <c r="AB57" s="94" t="s">
        <v>159</v>
      </c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</row>
    <row r="58" spans="1:47" ht="15.75" customHeight="1" x14ac:dyDescent="0.3">
      <c r="A58" s="54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6"/>
      <c r="W58" s="95" t="s">
        <v>160</v>
      </c>
      <c r="X58" s="95"/>
      <c r="Y58" s="95"/>
      <c r="Z58" s="95"/>
      <c r="AA58" s="74">
        <v>10</v>
      </c>
      <c r="AB58" s="94" t="s">
        <v>161</v>
      </c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</row>
    <row r="59" spans="1:47" ht="15.75" customHeight="1" x14ac:dyDescent="0.3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6"/>
      <c r="W59" s="95" t="s">
        <v>162</v>
      </c>
      <c r="X59" s="95"/>
      <c r="Y59" s="95"/>
      <c r="Z59" s="95"/>
      <c r="AA59" s="74">
        <v>30</v>
      </c>
      <c r="AB59" s="94" t="s">
        <v>163</v>
      </c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</row>
    <row r="60" spans="1:47" ht="15.75" customHeight="1" x14ac:dyDescent="0.3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6"/>
      <c r="W60" s="95" t="s">
        <v>164</v>
      </c>
      <c r="X60" s="95"/>
      <c r="Y60" s="95"/>
      <c r="Z60" s="95"/>
      <c r="AA60" s="74">
        <v>30</v>
      </c>
      <c r="AB60" s="94" t="s">
        <v>165</v>
      </c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</row>
    <row r="61" spans="1:47" ht="15.75" customHeight="1" x14ac:dyDescent="0.3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6"/>
      <c r="W61" s="95" t="s">
        <v>166</v>
      </c>
      <c r="X61" s="95"/>
      <c r="Y61" s="95"/>
      <c r="Z61" s="95"/>
      <c r="AA61" s="72">
        <f>AA56/365*AA57</f>
        <v>1.0654092581316243</v>
      </c>
      <c r="AB61" s="94" t="s">
        <v>167</v>
      </c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</row>
    <row r="62" spans="1:47" ht="15.75" customHeight="1" x14ac:dyDescent="0.3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6"/>
      <c r="W62" s="95" t="s">
        <v>168</v>
      </c>
      <c r="X62" s="95"/>
      <c r="Y62" s="95"/>
      <c r="Z62" s="95"/>
      <c r="AA62" s="72">
        <f>AA55/365*AA58</f>
        <v>13.671141043951366</v>
      </c>
      <c r="AB62" s="94" t="s">
        <v>169</v>
      </c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</row>
    <row r="63" spans="1:47" ht="15.75" customHeight="1" x14ac:dyDescent="0.3">
      <c r="A63" s="54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6"/>
      <c r="W63" s="95" t="s">
        <v>170</v>
      </c>
      <c r="X63" s="95"/>
      <c r="Y63" s="95"/>
      <c r="Z63" s="95"/>
      <c r="AA63" s="72">
        <f>AA54/365*AA59</f>
        <v>44.289412221042234</v>
      </c>
      <c r="AB63" s="94" t="s">
        <v>171</v>
      </c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</row>
    <row r="64" spans="1:47" ht="15.75" customHeight="1" x14ac:dyDescent="0.3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6"/>
      <c r="W64" s="95" t="s">
        <v>107</v>
      </c>
      <c r="X64" s="95"/>
      <c r="Y64" s="95"/>
      <c r="Z64" s="95"/>
      <c r="AA64" s="72">
        <f>MAX(AA61+AA62+AA63-AA65,0)</f>
        <v>27.063684779176491</v>
      </c>
      <c r="AB64" s="94" t="s">
        <v>172</v>
      </c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</row>
    <row r="65" spans="1:47" ht="15.75" customHeight="1" x14ac:dyDescent="0.3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6"/>
      <c r="W65" s="95" t="s">
        <v>173</v>
      </c>
      <c r="X65" s="95"/>
      <c r="Y65" s="95"/>
      <c r="Z65" s="95"/>
      <c r="AA65" s="72">
        <f>AA56/365*AA60</f>
        <v>31.962277743948732</v>
      </c>
      <c r="AB65" s="94" t="s">
        <v>174</v>
      </c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</row>
    <row r="66" spans="1:47" ht="15.75" customHeight="1" x14ac:dyDescent="0.3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6"/>
      <c r="V66" s="75">
        <v>0.01</v>
      </c>
    </row>
    <row r="67" spans="1:47" ht="15.75" customHeight="1" x14ac:dyDescent="0.3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6"/>
      <c r="V67" s="71"/>
    </row>
    <row r="68" spans="1:47" ht="15.75" customHeight="1" x14ac:dyDescent="0.3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6"/>
      <c r="V68" s="117"/>
    </row>
    <row r="69" spans="1:47" ht="15.75" customHeight="1" x14ac:dyDescent="0.3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6"/>
      <c r="V69" s="117"/>
    </row>
    <row r="70" spans="1:47" ht="15.75" customHeight="1" x14ac:dyDescent="0.3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6"/>
      <c r="V70" s="117"/>
    </row>
    <row r="71" spans="1:47" ht="15.75" customHeight="1" x14ac:dyDescent="0.3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6"/>
      <c r="V71" s="71"/>
    </row>
    <row r="72" spans="1:47" ht="15.75" customHeight="1" x14ac:dyDescent="0.3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71" t="s">
        <v>93</v>
      </c>
    </row>
    <row r="73" spans="1:47" ht="15.75" customHeight="1" x14ac:dyDescent="0.3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72" t="e">
        <f>NPV(#REF!,'Etanol de Cana de Açúcar'!AH31:AH50)+'Etanol de Cana de Açúcar'!AH30</f>
        <v>#REF!</v>
      </c>
    </row>
    <row r="74" spans="1:47" ht="15.75" customHeight="1" x14ac:dyDescent="0.3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72" t="e">
        <f>NPV(#REF!,'Etanol de Cana de Açúcar'!AH31:AH50)+'Etanol de Cana de Açúcar'!AH30</f>
        <v>#REF!</v>
      </c>
    </row>
    <row r="75" spans="1:47" ht="15.75" customHeight="1" x14ac:dyDescent="0.3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72" t="e">
        <f>NPV(#REF!,'Etanol de Cana de Açúcar'!AH31:AH50)+'Etanol de Cana de Açúcar'!AH30</f>
        <v>#REF!</v>
      </c>
    </row>
    <row r="76" spans="1:47" ht="15.75" customHeight="1" x14ac:dyDescent="0.3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72" t="e">
        <f>NPV(#REF!,'Etanol de Cana de Açúcar'!AH31:AH50)+'Etanol de Cana de Açúcar'!AH30</f>
        <v>#REF!</v>
      </c>
    </row>
    <row r="77" spans="1:47" ht="15.75" customHeight="1" x14ac:dyDescent="0.3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71"/>
    </row>
    <row r="78" spans="1:47" ht="15.75" customHeight="1" x14ac:dyDescent="0.3">
      <c r="A78" s="54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71"/>
    </row>
    <row r="79" spans="1:47" ht="15.75" customHeight="1" x14ac:dyDescent="0.3">
      <c r="A79" s="54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118"/>
    </row>
    <row r="80" spans="1:47" ht="31.95" customHeight="1" x14ac:dyDescent="0.3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119">
        <f>IF('Etanol de Cana de Açúcar'!AA9=0,20*(1-'Etanol de Cana de Açúcar'!AA7),(1-'Etanol de Cana de Açúcar'!AA7)*(1-(1+'Etanol de Cana de Açúcar'!AA9)^-20)/'Etanol de Cana de Açúcar'!AA9)+'Etanol de Cana de Açúcar'!AA58/365*(1-(1+'Etanol de Cana de Açúcar'!AA9)^-20)</f>
        <v>5.6422768871495794</v>
      </c>
    </row>
    <row r="81" spans="1:22" ht="31.95" customHeight="1" x14ac:dyDescent="0.3">
      <c r="A81" s="54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119">
        <f>IF(V80&gt;0,IF(AND('Etanol de Cana de Açúcar'!AA6-'Etanol de Cana de Açúcar'!AA16/V80&gt;=MAX('Etanol de Cana de Açúcar'!Y31:Y50),'Etanol de Cana de Açúcar'!AA10+'Etanol de Cana de Açúcar'!AA16/V80*'Etanol de Cana de Açúcar'!AA58/365&gt;0),'Etanol de Cana de Açúcar'!AA6-'Etanol de Cana de Açúcar'!AA16/V80,"Requer simulação"),"Requer simulação")</f>
        <v>36.169695958119092</v>
      </c>
    </row>
    <row r="82" spans="1:22" ht="31.95" customHeight="1" x14ac:dyDescent="0.3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119">
        <f>IF(ISNUMBER(V81),'Etanol de Cana de Açúcar'!AA6-V81,"Requer simulação")</f>
        <v>3.6881712936699671</v>
      </c>
    </row>
    <row r="83" spans="1:22" ht="31.95" customHeight="1" x14ac:dyDescent="0.3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120">
        <f>IF(AND(ISNUMBER(V82),'Etanol de Cana de Açúcar'!AA6&gt;0),V82/'Etanol de Cana de Açúcar'!AA6,"Requer simulação")</f>
        <v>9.2533081872423067E-2</v>
      </c>
    </row>
    <row r="84" spans="1:22" ht="15.75" customHeight="1" x14ac:dyDescent="0.3">
      <c r="A84" s="54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121"/>
    </row>
    <row r="85" spans="1:22" ht="31.95" customHeight="1" x14ac:dyDescent="0.3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</row>
    <row r="86" spans="1:22" ht="31.95" customHeight="1" x14ac:dyDescent="0.3">
      <c r="A86" s="5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</row>
    <row r="87" spans="1:22" ht="31.95" customHeight="1" x14ac:dyDescent="0.3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</row>
    <row r="88" spans="1:22" ht="15.75" customHeight="1" x14ac:dyDescent="0.3">
      <c r="A88" s="5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65"/>
    </row>
    <row r="89" spans="1:22" ht="15.75" customHeight="1" x14ac:dyDescent="0.3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65"/>
    </row>
    <row r="90" spans="1:22" ht="15.75" customHeight="1" x14ac:dyDescent="0.3">
      <c r="A90" s="5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65"/>
    </row>
    <row r="91" spans="1:22" ht="15.75" customHeight="1" x14ac:dyDescent="0.3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65"/>
    </row>
    <row r="92" spans="1:22" ht="15.75" customHeight="1" x14ac:dyDescent="0.3">
      <c r="A92" s="54"/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65"/>
    </row>
    <row r="93" spans="1:22" ht="15.75" customHeight="1" x14ac:dyDescent="0.3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65"/>
    </row>
    <row r="94" spans="1:22" ht="15.75" customHeight="1" x14ac:dyDescent="0.3">
      <c r="A94" s="54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65"/>
    </row>
    <row r="95" spans="1:22" ht="15.75" customHeight="1" x14ac:dyDescent="0.3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65"/>
    </row>
    <row r="96" spans="1:22" ht="15.75" customHeight="1" x14ac:dyDescent="0.3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65"/>
    </row>
    <row r="97" spans="1:22" ht="15.75" customHeight="1" x14ac:dyDescent="0.3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65"/>
    </row>
    <row r="98" spans="1:22" ht="15.75" customHeight="1" x14ac:dyDescent="0.3">
      <c r="A98" s="54"/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65"/>
    </row>
    <row r="99" spans="1:22" ht="15.75" customHeight="1" x14ac:dyDescent="0.3">
      <c r="A99" s="54"/>
      <c r="B99" s="54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66"/>
    </row>
    <row r="100" spans="1:22" ht="15.75" customHeight="1" x14ac:dyDescent="0.3">
      <c r="A100" s="54"/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66"/>
    </row>
    <row r="101" spans="1:22" ht="15.75" customHeight="1" x14ac:dyDescent="0.3">
      <c r="A101" s="54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V101" s="66"/>
    </row>
    <row r="102" spans="1:22" ht="15.75" customHeight="1" x14ac:dyDescent="0.3">
      <c r="A102" s="54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V102" s="66"/>
    </row>
    <row r="103" spans="1:22" ht="15.75" customHeight="1" x14ac:dyDescent="0.3">
      <c r="A103" s="54"/>
      <c r="B103" s="54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V103" s="66"/>
    </row>
    <row r="104" spans="1:22" ht="15.75" customHeight="1" x14ac:dyDescent="0.3">
      <c r="A104" s="54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V104" s="66"/>
    </row>
    <row r="105" spans="1:22" ht="15.75" customHeight="1" x14ac:dyDescent="0.3">
      <c r="A105" s="54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V105" s="66"/>
    </row>
    <row r="106" spans="1:22" ht="15.75" customHeight="1" x14ac:dyDescent="0.3">
      <c r="A106" s="5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V106" s="66"/>
    </row>
    <row r="107" spans="1:22" ht="15.75" customHeight="1" x14ac:dyDescent="0.3">
      <c r="A107" s="5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V107" s="66"/>
    </row>
    <row r="108" spans="1:22" ht="15.75" customHeight="1" x14ac:dyDescent="0.3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V108" s="66"/>
    </row>
    <row r="109" spans="1:22" ht="15.75" customHeight="1" x14ac:dyDescent="0.3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V109" s="66"/>
    </row>
    <row r="110" spans="1:22" ht="15.75" customHeight="1" x14ac:dyDescent="0.3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V110" s="66"/>
    </row>
    <row r="111" spans="1:22" ht="15.75" customHeight="1" x14ac:dyDescent="0.3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V111" s="66"/>
    </row>
    <row r="112" spans="1:22" ht="15.75" customHeight="1" x14ac:dyDescent="0.3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V112" s="66"/>
    </row>
    <row r="113" spans="1:22" ht="15.75" customHeight="1" x14ac:dyDescent="0.3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V113" s="66"/>
    </row>
    <row r="114" spans="1:22" ht="15.75" customHeight="1" x14ac:dyDescent="0.3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V114" s="66"/>
    </row>
    <row r="115" spans="1:22" ht="15.75" customHeight="1" x14ac:dyDescent="0.3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V115" s="66"/>
    </row>
    <row r="116" spans="1:22" ht="15.75" customHeight="1" x14ac:dyDescent="0.3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V116" s="66"/>
    </row>
    <row r="117" spans="1:22" ht="15.75" customHeight="1" x14ac:dyDescent="0.3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ht="15.75" customHeight="1" x14ac:dyDescent="0.3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</row>
    <row r="119" spans="1:22" ht="15.75" customHeight="1" x14ac:dyDescent="0.3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</row>
    <row r="120" spans="1:22" ht="15.75" customHeight="1" x14ac:dyDescent="0.3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</row>
    <row r="121" spans="1:22" ht="15.75" customHeight="1" x14ac:dyDescent="0.3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</row>
    <row r="122" spans="1:22" ht="15.75" customHeight="1" x14ac:dyDescent="0.3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</row>
    <row r="123" spans="1:22" ht="15.75" customHeight="1" x14ac:dyDescent="0.3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</row>
    <row r="124" spans="1:22" ht="15.75" customHeight="1" x14ac:dyDescent="0.3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</row>
    <row r="125" spans="1:22" ht="15.75" customHeight="1" x14ac:dyDescent="0.3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</row>
    <row r="126" spans="1:22" ht="15.75" customHeight="1" x14ac:dyDescent="0.3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</row>
    <row r="127" spans="1:22" ht="15.75" customHeight="1" x14ac:dyDescent="0.3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</row>
    <row r="128" spans="1:22" ht="15.75" customHeight="1" x14ac:dyDescent="0.3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</row>
    <row r="129" spans="1:21" ht="15.75" customHeight="1" x14ac:dyDescent="0.3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</row>
    <row r="130" spans="1:21" ht="15.75" customHeight="1" x14ac:dyDescent="0.3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</row>
    <row r="131" spans="1:21" ht="15.75" customHeight="1" x14ac:dyDescent="0.3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</row>
    <row r="132" spans="1:21" ht="15.75" customHeight="1" x14ac:dyDescent="0.3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</row>
    <row r="133" spans="1:21" ht="15.75" customHeight="1" x14ac:dyDescent="0.3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</row>
    <row r="134" spans="1:21" ht="15.75" customHeight="1" x14ac:dyDescent="0.3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</row>
    <row r="135" spans="1:21" ht="15.75" customHeight="1" x14ac:dyDescent="0.3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</row>
    <row r="136" spans="1:21" ht="15.75" customHeight="1" x14ac:dyDescent="0.3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</row>
    <row r="137" spans="1:21" ht="15.75" customHeight="1" x14ac:dyDescent="0.3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</row>
    <row r="138" spans="1:21" ht="15.75" customHeight="1" x14ac:dyDescent="0.3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</row>
    <row r="139" spans="1:21" ht="15.75" customHeight="1" x14ac:dyDescent="0.3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</row>
    <row r="140" spans="1:21" ht="15.75" customHeight="1" x14ac:dyDescent="0.3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</row>
    <row r="141" spans="1:21" ht="15.75" customHeight="1" x14ac:dyDescent="0.3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</row>
    <row r="142" spans="1:21" ht="15.75" customHeight="1" x14ac:dyDescent="0.3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</row>
    <row r="143" spans="1:21" ht="15.75" customHeight="1" x14ac:dyDescent="0.3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</row>
    <row r="144" spans="1:21" ht="15.75" customHeight="1" x14ac:dyDescent="0.3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</row>
    <row r="145" spans="1:21" ht="15.75" customHeight="1" x14ac:dyDescent="0.3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</row>
    <row r="146" spans="1:21" ht="15.75" customHeight="1" x14ac:dyDescent="0.3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</row>
    <row r="147" spans="1:21" ht="15.75" customHeight="1" x14ac:dyDescent="0.3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</row>
    <row r="148" spans="1:21" ht="15.75" customHeight="1" x14ac:dyDescent="0.3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</row>
    <row r="149" spans="1:21" ht="15.75" customHeight="1" x14ac:dyDescent="0.3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 ht="15.75" customHeight="1" x14ac:dyDescent="0.3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</row>
    <row r="151" spans="1:21" ht="15.75" customHeight="1" x14ac:dyDescent="0.3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</row>
    <row r="152" spans="1:21" ht="15.75" customHeight="1" x14ac:dyDescent="0.3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</row>
    <row r="153" spans="1:21" ht="15.75" customHeight="1" x14ac:dyDescent="0.3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</row>
    <row r="154" spans="1:21" ht="15.75" customHeight="1" x14ac:dyDescent="0.3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</row>
    <row r="155" spans="1:21" ht="15.75" customHeight="1" x14ac:dyDescent="0.3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</row>
    <row r="156" spans="1:21" ht="15.75" customHeight="1" x14ac:dyDescent="0.3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</row>
    <row r="157" spans="1:21" ht="15.75" customHeight="1" x14ac:dyDescent="0.3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</row>
    <row r="158" spans="1:21" ht="15.75" customHeight="1" x14ac:dyDescent="0.3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</row>
    <row r="159" spans="1:21" ht="15.75" customHeight="1" x14ac:dyDescent="0.3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</row>
    <row r="160" spans="1:21" ht="15.75" customHeight="1" x14ac:dyDescent="0.3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</row>
    <row r="161" spans="1:21" ht="15.75" customHeight="1" x14ac:dyDescent="0.3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</row>
    <row r="162" spans="1:21" ht="15.75" customHeight="1" x14ac:dyDescent="0.3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</row>
    <row r="163" spans="1:21" ht="15.75" customHeight="1" x14ac:dyDescent="0.3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</row>
    <row r="164" spans="1:21" ht="15.75" customHeight="1" x14ac:dyDescent="0.3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</row>
    <row r="165" spans="1:21" ht="15.75" customHeight="1" x14ac:dyDescent="0.3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</row>
    <row r="166" spans="1:21" ht="15.75" customHeight="1" x14ac:dyDescent="0.3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</row>
    <row r="167" spans="1:21" ht="15.75" customHeight="1" x14ac:dyDescent="0.3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</row>
    <row r="168" spans="1:21" ht="15.75" customHeight="1" x14ac:dyDescent="0.3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</row>
    <row r="169" spans="1:21" ht="15.75" customHeight="1" x14ac:dyDescent="0.3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</row>
    <row r="170" spans="1:21" ht="15.75" customHeight="1" x14ac:dyDescent="0.3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</row>
    <row r="171" spans="1:21" ht="15.75" customHeight="1" x14ac:dyDescent="0.3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</row>
    <row r="172" spans="1:21" ht="15.75" customHeight="1" x14ac:dyDescent="0.3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</row>
    <row r="173" spans="1:21" ht="15.75" customHeight="1" x14ac:dyDescent="0.3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</row>
    <row r="174" spans="1:21" ht="15.75" customHeight="1" x14ac:dyDescent="0.3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</row>
    <row r="175" spans="1:21" ht="15.75" customHeight="1" x14ac:dyDescent="0.3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</row>
    <row r="176" spans="1:21" ht="15.75" customHeight="1" x14ac:dyDescent="0.3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</row>
    <row r="177" spans="1:21" ht="15.75" customHeight="1" x14ac:dyDescent="0.3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</row>
    <row r="178" spans="1:21" ht="15.75" customHeight="1" x14ac:dyDescent="0.3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</row>
    <row r="179" spans="1:21" ht="15.75" customHeight="1" x14ac:dyDescent="0.3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</row>
    <row r="180" spans="1:21" ht="15.75" customHeight="1" x14ac:dyDescent="0.3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</row>
    <row r="181" spans="1:21" ht="15.75" customHeight="1" x14ac:dyDescent="0.3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</row>
    <row r="182" spans="1:21" ht="15.75" customHeight="1" x14ac:dyDescent="0.3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</row>
    <row r="183" spans="1:21" ht="15.75" customHeight="1" x14ac:dyDescent="0.3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</row>
    <row r="184" spans="1:21" ht="15.75" customHeight="1" x14ac:dyDescent="0.3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</row>
    <row r="185" spans="1:21" ht="15.75" customHeight="1" x14ac:dyDescent="0.3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</row>
    <row r="186" spans="1:21" ht="15.75" customHeight="1" x14ac:dyDescent="0.3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</row>
    <row r="187" spans="1:21" ht="15.75" customHeight="1" x14ac:dyDescent="0.3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</row>
    <row r="188" spans="1:21" ht="15.75" customHeight="1" x14ac:dyDescent="0.3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</row>
    <row r="189" spans="1:21" ht="15.75" customHeight="1" x14ac:dyDescent="0.3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</row>
    <row r="190" spans="1:21" ht="15.75" customHeight="1" x14ac:dyDescent="0.3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</row>
    <row r="191" spans="1:21" ht="15.75" customHeight="1" x14ac:dyDescent="0.3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</row>
    <row r="192" spans="1:21" ht="15.75" customHeight="1" x14ac:dyDescent="0.3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</row>
    <row r="193" spans="1:21" ht="15.75" customHeight="1" x14ac:dyDescent="0.3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</row>
    <row r="194" spans="1:21" ht="15.75" customHeight="1" x14ac:dyDescent="0.3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</row>
    <row r="195" spans="1:21" ht="15.75" customHeight="1" x14ac:dyDescent="0.3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</row>
    <row r="196" spans="1:21" ht="15.75" customHeight="1" x14ac:dyDescent="0.3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</row>
    <row r="197" spans="1:21" ht="15.75" customHeight="1" x14ac:dyDescent="0.3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</row>
    <row r="198" spans="1:21" ht="15.75" customHeight="1" x14ac:dyDescent="0.3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</row>
    <row r="199" spans="1:21" ht="15.75" customHeight="1" x14ac:dyDescent="0.3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</row>
    <row r="200" spans="1:21" ht="15.75" customHeight="1" x14ac:dyDescent="0.3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</row>
    <row r="201" spans="1:21" ht="15.75" customHeight="1" x14ac:dyDescent="0.3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</row>
    <row r="202" spans="1:21" ht="15.75" customHeight="1" x14ac:dyDescent="0.3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</row>
    <row r="203" spans="1:21" ht="15.75" customHeight="1" x14ac:dyDescent="0.3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</row>
    <row r="204" spans="1:21" ht="15.75" customHeight="1" x14ac:dyDescent="0.3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</row>
    <row r="205" spans="1:21" ht="15.75" customHeight="1" x14ac:dyDescent="0.3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</row>
    <row r="206" spans="1:21" ht="15.75" customHeight="1" x14ac:dyDescent="0.3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</row>
    <row r="207" spans="1:21" ht="15.75" customHeight="1" x14ac:dyDescent="0.3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</row>
    <row r="208" spans="1:21" ht="15.75" customHeight="1" x14ac:dyDescent="0.3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</row>
    <row r="209" spans="1:21" ht="15.75" customHeight="1" x14ac:dyDescent="0.3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</row>
    <row r="210" spans="1:21" ht="15.75" customHeight="1" x14ac:dyDescent="0.3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</row>
    <row r="211" spans="1:21" ht="15.75" customHeight="1" x14ac:dyDescent="0.3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</row>
    <row r="212" spans="1:21" ht="15.75" customHeight="1" x14ac:dyDescent="0.3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</row>
    <row r="213" spans="1:21" ht="15.75" customHeight="1" x14ac:dyDescent="0.3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</row>
    <row r="214" spans="1:21" ht="15.75" customHeight="1" x14ac:dyDescent="0.3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</row>
    <row r="215" spans="1:21" ht="15.75" customHeight="1" x14ac:dyDescent="0.3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</row>
    <row r="216" spans="1:21" ht="15.75" customHeight="1" x14ac:dyDescent="0.3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</row>
    <row r="217" spans="1:21" ht="15.75" customHeight="1" x14ac:dyDescent="0.3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</row>
    <row r="218" spans="1:21" ht="15.75" customHeight="1" x14ac:dyDescent="0.3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</row>
    <row r="219" spans="1:21" ht="15.75" customHeight="1" x14ac:dyDescent="0.3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</row>
    <row r="220" spans="1:21" ht="15.75" customHeight="1" x14ac:dyDescent="0.3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</row>
    <row r="221" spans="1:21" ht="15.75" customHeight="1" x14ac:dyDescent="0.3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</row>
    <row r="222" spans="1:21" ht="15.75" customHeight="1" x14ac:dyDescent="0.3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</row>
    <row r="223" spans="1:21" ht="15.75" customHeight="1" x14ac:dyDescent="0.3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</row>
    <row r="224" spans="1:21" ht="15.75" customHeight="1" x14ac:dyDescent="0.3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</row>
    <row r="225" spans="1:21" ht="15.75" customHeight="1" x14ac:dyDescent="0.3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</row>
    <row r="226" spans="1:21" ht="15.75" customHeight="1" x14ac:dyDescent="0.3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</row>
    <row r="227" spans="1:21" ht="15.75" customHeight="1" x14ac:dyDescent="0.3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</row>
    <row r="228" spans="1:21" ht="15.75" customHeight="1" x14ac:dyDescent="0.3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</row>
    <row r="229" spans="1:21" ht="15.75" customHeight="1" x14ac:dyDescent="0.3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</row>
    <row r="230" spans="1:21" ht="15.75" customHeight="1" x14ac:dyDescent="0.3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</row>
    <row r="231" spans="1:21" ht="15.75" customHeight="1" x14ac:dyDescent="0.3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</row>
    <row r="232" spans="1:21" ht="15.75" customHeight="1" x14ac:dyDescent="0.3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</row>
    <row r="233" spans="1:21" ht="15.75" customHeight="1" x14ac:dyDescent="0.3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</row>
    <row r="234" spans="1:21" ht="15.75" customHeight="1" x14ac:dyDescent="0.3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</row>
    <row r="235" spans="1:21" ht="15.75" customHeight="1" x14ac:dyDescent="0.3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</row>
    <row r="236" spans="1:21" ht="15.75" customHeight="1" x14ac:dyDescent="0.3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</row>
    <row r="237" spans="1:21" ht="15.75" customHeight="1" x14ac:dyDescent="0.3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</row>
    <row r="238" spans="1:21" ht="15.75" customHeight="1" x14ac:dyDescent="0.3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</row>
    <row r="239" spans="1:21" ht="15.75" customHeight="1" x14ac:dyDescent="0.3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</row>
    <row r="240" spans="1:21" ht="15.75" customHeight="1" x14ac:dyDescent="0.3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</row>
    <row r="241" spans="1:21" ht="15.75" customHeight="1" x14ac:dyDescent="0.3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</row>
    <row r="242" spans="1:21" ht="15.75" customHeight="1" x14ac:dyDescent="0.3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</row>
    <row r="243" spans="1:21" ht="15.75" customHeight="1" x14ac:dyDescent="0.3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</row>
    <row r="244" spans="1:21" ht="15.75" customHeight="1" x14ac:dyDescent="0.3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</row>
    <row r="245" spans="1:21" ht="15.75" customHeight="1" x14ac:dyDescent="0.3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</row>
    <row r="246" spans="1:21" ht="15.75" customHeight="1" x14ac:dyDescent="0.3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</row>
    <row r="247" spans="1:21" ht="15.75" customHeight="1" x14ac:dyDescent="0.3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</row>
    <row r="248" spans="1:21" ht="15.75" customHeight="1" x14ac:dyDescent="0.3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</row>
    <row r="249" spans="1:21" ht="15.75" customHeight="1" x14ac:dyDescent="0.3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</row>
    <row r="250" spans="1:21" ht="15.75" customHeight="1" x14ac:dyDescent="0.3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</row>
    <row r="251" spans="1:21" ht="15.75" customHeight="1" x14ac:dyDescent="0.3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</row>
    <row r="252" spans="1:21" ht="15.75" customHeight="1" x14ac:dyDescent="0.3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</row>
    <row r="253" spans="1:21" ht="15.75" customHeight="1" x14ac:dyDescent="0.3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</row>
    <row r="254" spans="1:21" ht="15.75" customHeight="1" x14ac:dyDescent="0.3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</row>
    <row r="255" spans="1:21" ht="15.75" customHeight="1" x14ac:dyDescent="0.3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</row>
    <row r="256" spans="1:21" ht="15.75" customHeight="1" x14ac:dyDescent="0.3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</row>
    <row r="257" spans="1:21" ht="15.75" customHeight="1" x14ac:dyDescent="0.3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</row>
    <row r="258" spans="1:21" ht="15.75" customHeight="1" x14ac:dyDescent="0.3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</row>
    <row r="259" spans="1:21" ht="15.75" customHeight="1" x14ac:dyDescent="0.3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</row>
    <row r="260" spans="1:21" ht="15.75" customHeight="1" x14ac:dyDescent="0.3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</row>
    <row r="261" spans="1:21" ht="15.75" customHeight="1" x14ac:dyDescent="0.3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</row>
    <row r="262" spans="1:21" ht="15.75" customHeight="1" x14ac:dyDescent="0.3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</row>
    <row r="263" spans="1:21" ht="15.75" customHeight="1" x14ac:dyDescent="0.3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</row>
    <row r="264" spans="1:21" ht="15.75" customHeight="1" x14ac:dyDescent="0.3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</row>
    <row r="265" spans="1:21" ht="15.75" customHeight="1" x14ac:dyDescent="0.3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</row>
    <row r="266" spans="1:21" ht="15.75" customHeight="1" x14ac:dyDescent="0.3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</row>
    <row r="267" spans="1:21" ht="15.75" customHeight="1" x14ac:dyDescent="0.3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</row>
    <row r="268" spans="1:21" ht="15.75" customHeight="1" x14ac:dyDescent="0.3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</row>
    <row r="269" spans="1:21" ht="15.75" customHeight="1" x14ac:dyDescent="0.3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</row>
    <row r="270" spans="1:21" ht="15.75" customHeight="1" x14ac:dyDescent="0.3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</row>
    <row r="271" spans="1:21" ht="15.75" customHeight="1" x14ac:dyDescent="0.3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</row>
    <row r="272" spans="1:21" ht="15.75" customHeight="1" x14ac:dyDescent="0.3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</row>
    <row r="273" spans="1:21" ht="15.75" customHeight="1" x14ac:dyDescent="0.3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</row>
    <row r="274" spans="1:21" ht="15.75" customHeight="1" x14ac:dyDescent="0.3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</row>
    <row r="275" spans="1:21" ht="15.75" customHeight="1" x14ac:dyDescent="0.3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</row>
    <row r="276" spans="1:21" ht="15.75" customHeight="1" x14ac:dyDescent="0.3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</row>
    <row r="277" spans="1:21" ht="15.75" customHeight="1" x14ac:dyDescent="0.3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</row>
    <row r="278" spans="1:21" ht="15.75" customHeight="1" x14ac:dyDescent="0.3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</row>
    <row r="279" spans="1:21" ht="15.75" customHeight="1" x14ac:dyDescent="0.3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</row>
    <row r="280" spans="1:21" ht="15.75" customHeight="1" x14ac:dyDescent="0.3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</row>
    <row r="281" spans="1:21" ht="15.75" customHeight="1" x14ac:dyDescent="0.3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</row>
    <row r="282" spans="1:21" ht="15.75" customHeight="1" x14ac:dyDescent="0.3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</row>
    <row r="283" spans="1:21" ht="15.75" customHeight="1" x14ac:dyDescent="0.3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</row>
    <row r="284" spans="1:21" ht="15.75" customHeight="1" x14ac:dyDescent="0.3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</row>
    <row r="285" spans="1:21" ht="15.75" customHeight="1" x14ac:dyDescent="0.3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</row>
    <row r="286" spans="1:21" ht="15.75" customHeight="1" x14ac:dyDescent="0.3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</row>
    <row r="287" spans="1:21" ht="15.75" customHeight="1" x14ac:dyDescent="0.3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</row>
    <row r="288" spans="1:21" ht="15.75" customHeight="1" x14ac:dyDescent="0.3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</row>
    <row r="289" spans="1:21" ht="15.75" customHeight="1" x14ac:dyDescent="0.3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</row>
    <row r="290" spans="1:21" ht="15.75" customHeight="1" x14ac:dyDescent="0.3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</row>
    <row r="291" spans="1:21" ht="15.75" customHeight="1" x14ac:dyDescent="0.3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</row>
    <row r="292" spans="1:21" ht="15.75" customHeight="1" x14ac:dyDescent="0.3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</row>
    <row r="293" spans="1:21" ht="15.75" customHeight="1" x14ac:dyDescent="0.3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</row>
    <row r="294" spans="1:21" ht="15.75" customHeight="1" x14ac:dyDescent="0.3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</row>
    <row r="295" spans="1:21" ht="15.75" customHeight="1" x14ac:dyDescent="0.3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</row>
    <row r="296" spans="1:21" ht="15.75" customHeight="1" x14ac:dyDescent="0.3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</row>
    <row r="297" spans="1:21" ht="15.75" customHeight="1" x14ac:dyDescent="0.3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</row>
    <row r="298" spans="1:21" ht="15.75" customHeight="1" x14ac:dyDescent="0.3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</row>
    <row r="299" spans="1:21" ht="15.75" customHeight="1" x14ac:dyDescent="0.3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</row>
    <row r="300" spans="1:21" ht="15.75" customHeight="1" x14ac:dyDescent="0.3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</row>
    <row r="301" spans="1:21" ht="15.75" customHeight="1" x14ac:dyDescent="0.3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</row>
    <row r="302" spans="1:21" ht="15.75" customHeight="1" x14ac:dyDescent="0.3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</row>
    <row r="303" spans="1:21" ht="15.75" customHeight="1" x14ac:dyDescent="0.3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</row>
    <row r="304" spans="1:21" ht="15.75" customHeight="1" x14ac:dyDescent="0.3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</row>
    <row r="305" spans="1:21" ht="15.75" customHeight="1" x14ac:dyDescent="0.3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</row>
    <row r="306" spans="1:21" ht="15.75" customHeight="1" x14ac:dyDescent="0.3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</row>
    <row r="307" spans="1:21" ht="15.75" customHeight="1" x14ac:dyDescent="0.3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</row>
    <row r="308" spans="1:21" ht="15.75" customHeight="1" x14ac:dyDescent="0.3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</row>
    <row r="309" spans="1:21" ht="15.75" customHeight="1" x14ac:dyDescent="0.3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</row>
    <row r="310" spans="1:21" ht="15.75" customHeight="1" x14ac:dyDescent="0.3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</row>
    <row r="311" spans="1:21" ht="15.75" customHeight="1" x14ac:dyDescent="0.3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</row>
    <row r="312" spans="1:21" ht="15.75" customHeight="1" x14ac:dyDescent="0.3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</row>
    <row r="313" spans="1:21" ht="15.75" customHeight="1" x14ac:dyDescent="0.3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</row>
    <row r="314" spans="1:21" ht="15.75" customHeight="1" x14ac:dyDescent="0.3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</row>
    <row r="315" spans="1:21" ht="15.75" customHeight="1" x14ac:dyDescent="0.3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</row>
    <row r="316" spans="1:21" ht="15.75" customHeight="1" x14ac:dyDescent="0.3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</row>
    <row r="317" spans="1:21" ht="15.75" customHeight="1" x14ac:dyDescent="0.3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</row>
    <row r="318" spans="1:21" ht="15.75" customHeight="1" x14ac:dyDescent="0.3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</row>
    <row r="319" spans="1:21" ht="15.75" customHeight="1" x14ac:dyDescent="0.3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</row>
    <row r="320" spans="1:21" ht="15.75" customHeight="1" x14ac:dyDescent="0.3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</row>
    <row r="321" spans="1:21" ht="15.75" customHeight="1" x14ac:dyDescent="0.3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</row>
    <row r="322" spans="1:21" ht="15.75" customHeight="1" x14ac:dyDescent="0.3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</row>
    <row r="323" spans="1:21" ht="15.75" customHeight="1" x14ac:dyDescent="0.3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</row>
    <row r="324" spans="1:21" ht="15.75" customHeight="1" x14ac:dyDescent="0.3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</row>
    <row r="325" spans="1:21" ht="15.75" customHeight="1" x14ac:dyDescent="0.3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</row>
    <row r="326" spans="1:21" ht="15.75" customHeight="1" x14ac:dyDescent="0.3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</row>
    <row r="327" spans="1:21" ht="15.75" customHeight="1" x14ac:dyDescent="0.3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</row>
    <row r="328" spans="1:21" ht="15.75" customHeight="1" x14ac:dyDescent="0.3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</row>
    <row r="329" spans="1:21" ht="15.75" customHeight="1" x14ac:dyDescent="0.3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</row>
    <row r="330" spans="1:21" ht="15.75" customHeight="1" x14ac:dyDescent="0.3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</row>
    <row r="331" spans="1:21" ht="15.75" customHeight="1" x14ac:dyDescent="0.3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</row>
    <row r="332" spans="1:21" ht="15.75" customHeight="1" x14ac:dyDescent="0.3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</row>
    <row r="333" spans="1:21" ht="15.75" customHeight="1" x14ac:dyDescent="0.3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</row>
    <row r="334" spans="1:21" ht="15.75" customHeight="1" x14ac:dyDescent="0.3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</row>
    <row r="335" spans="1:21" ht="15.75" customHeight="1" x14ac:dyDescent="0.3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</row>
    <row r="336" spans="1:21" ht="15.75" customHeight="1" x14ac:dyDescent="0.3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</row>
    <row r="337" spans="1:21" ht="15.75" customHeight="1" x14ac:dyDescent="0.3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</row>
    <row r="338" spans="1:21" ht="15.75" customHeight="1" x14ac:dyDescent="0.3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</row>
    <row r="339" spans="1:21" ht="15.75" customHeight="1" x14ac:dyDescent="0.3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</row>
    <row r="340" spans="1:21" ht="15.75" customHeight="1" x14ac:dyDescent="0.3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</row>
    <row r="341" spans="1:21" ht="15.75" customHeight="1" x14ac:dyDescent="0.3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</row>
    <row r="342" spans="1:21" ht="15.75" customHeight="1" x14ac:dyDescent="0.3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</row>
    <row r="343" spans="1:21" ht="15.75" customHeight="1" x14ac:dyDescent="0.3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</row>
    <row r="344" spans="1:21" ht="15.75" customHeight="1" x14ac:dyDescent="0.3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</row>
    <row r="345" spans="1:21" ht="15.75" customHeight="1" x14ac:dyDescent="0.3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</row>
    <row r="346" spans="1:21" ht="15.75" customHeight="1" x14ac:dyDescent="0.3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</row>
    <row r="347" spans="1:21" ht="15.75" customHeight="1" x14ac:dyDescent="0.3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</row>
    <row r="348" spans="1:21" ht="15.75" customHeight="1" x14ac:dyDescent="0.3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</row>
    <row r="349" spans="1:21" ht="15.75" customHeight="1" x14ac:dyDescent="0.3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</row>
    <row r="350" spans="1:21" ht="15.75" customHeight="1" x14ac:dyDescent="0.3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</row>
    <row r="351" spans="1:21" ht="15.75" customHeight="1" x14ac:dyDescent="0.3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</row>
    <row r="352" spans="1:21" ht="15.75" customHeight="1" x14ac:dyDescent="0.3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</row>
    <row r="353" spans="1:21" ht="15.75" customHeight="1" x14ac:dyDescent="0.3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</row>
    <row r="354" spans="1:21" ht="15.75" customHeight="1" x14ac:dyDescent="0.3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</row>
    <row r="355" spans="1:21" ht="15.75" customHeight="1" x14ac:dyDescent="0.3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</row>
    <row r="356" spans="1:21" ht="15.75" customHeight="1" x14ac:dyDescent="0.3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</row>
    <row r="357" spans="1:21" ht="15.75" customHeight="1" x14ac:dyDescent="0.3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</row>
    <row r="358" spans="1:21" ht="15.75" customHeight="1" x14ac:dyDescent="0.3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</row>
    <row r="359" spans="1:21" ht="15.75" customHeight="1" x14ac:dyDescent="0.3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</row>
    <row r="360" spans="1:21" ht="15.75" customHeight="1" x14ac:dyDescent="0.3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</row>
    <row r="361" spans="1:21" ht="15.75" customHeight="1" x14ac:dyDescent="0.3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</row>
    <row r="362" spans="1:21" ht="15.75" customHeight="1" x14ac:dyDescent="0.3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</row>
    <row r="363" spans="1:21" ht="15.75" customHeight="1" x14ac:dyDescent="0.3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</row>
    <row r="364" spans="1:21" ht="15.75" customHeight="1" x14ac:dyDescent="0.3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</row>
    <row r="365" spans="1:21" ht="15.75" customHeight="1" x14ac:dyDescent="0.3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</row>
    <row r="366" spans="1:21" ht="15.75" customHeight="1" x14ac:dyDescent="0.3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</row>
    <row r="367" spans="1:21" ht="15.75" customHeight="1" x14ac:dyDescent="0.3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</row>
    <row r="368" spans="1:21" ht="15.75" customHeight="1" x14ac:dyDescent="0.3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</row>
    <row r="369" spans="1:21" ht="15.75" customHeight="1" x14ac:dyDescent="0.3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</row>
    <row r="370" spans="1:21" ht="15.75" customHeight="1" x14ac:dyDescent="0.3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</row>
    <row r="371" spans="1:21" ht="15.75" customHeight="1" x14ac:dyDescent="0.3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</row>
    <row r="372" spans="1:21" ht="15.75" customHeight="1" x14ac:dyDescent="0.3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</row>
    <row r="373" spans="1:21" ht="15.75" customHeight="1" x14ac:dyDescent="0.3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</row>
    <row r="374" spans="1:21" ht="15.75" customHeight="1" x14ac:dyDescent="0.3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</row>
    <row r="375" spans="1:21" ht="15.75" customHeight="1" x14ac:dyDescent="0.3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</row>
    <row r="376" spans="1:21" ht="15.75" customHeight="1" x14ac:dyDescent="0.3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</row>
    <row r="377" spans="1:21" ht="15.75" customHeight="1" x14ac:dyDescent="0.3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</row>
    <row r="378" spans="1:21" ht="15.75" customHeight="1" x14ac:dyDescent="0.3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</row>
    <row r="379" spans="1:21" ht="15.75" customHeight="1" x14ac:dyDescent="0.3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</row>
    <row r="380" spans="1:21" ht="15.75" customHeight="1" x14ac:dyDescent="0.3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</row>
    <row r="381" spans="1:21" ht="15.75" customHeight="1" x14ac:dyDescent="0.3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</row>
    <row r="382" spans="1:21" ht="15.75" customHeight="1" x14ac:dyDescent="0.3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</row>
    <row r="383" spans="1:21" ht="15.75" customHeight="1" x14ac:dyDescent="0.3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</row>
    <row r="384" spans="1:21" ht="15.75" customHeight="1" x14ac:dyDescent="0.3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</row>
    <row r="385" spans="1:21" ht="15.75" customHeight="1" x14ac:dyDescent="0.3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</row>
    <row r="386" spans="1:21" ht="15.75" customHeight="1" x14ac:dyDescent="0.3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</row>
    <row r="387" spans="1:21" ht="15.75" customHeight="1" x14ac:dyDescent="0.3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</row>
    <row r="388" spans="1:21" ht="15.75" customHeight="1" x14ac:dyDescent="0.3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</row>
    <row r="389" spans="1:21" ht="15.75" customHeight="1" x14ac:dyDescent="0.3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</row>
    <row r="390" spans="1:21" ht="15.75" customHeight="1" x14ac:dyDescent="0.3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</row>
    <row r="391" spans="1:21" ht="15.75" customHeight="1" x14ac:dyDescent="0.3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</row>
    <row r="392" spans="1:21" ht="15.75" customHeight="1" x14ac:dyDescent="0.3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</row>
    <row r="393" spans="1:21" ht="15.75" customHeight="1" x14ac:dyDescent="0.3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</row>
    <row r="394" spans="1:21" ht="15.75" customHeight="1" x14ac:dyDescent="0.3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</row>
    <row r="395" spans="1:21" ht="15.75" customHeight="1" x14ac:dyDescent="0.3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</row>
    <row r="396" spans="1:21" ht="15.75" customHeight="1" x14ac:dyDescent="0.3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</row>
    <row r="397" spans="1:21" ht="15.75" customHeight="1" x14ac:dyDescent="0.3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</row>
    <row r="398" spans="1:21" ht="15.75" customHeight="1" x14ac:dyDescent="0.3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</row>
    <row r="399" spans="1:21" ht="15.75" customHeight="1" x14ac:dyDescent="0.3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</row>
    <row r="400" spans="1:21" ht="15.75" customHeight="1" x14ac:dyDescent="0.3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</row>
    <row r="401" spans="1:21" ht="15.75" customHeight="1" x14ac:dyDescent="0.3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</row>
    <row r="402" spans="1:21" ht="15.75" customHeight="1" x14ac:dyDescent="0.3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</row>
    <row r="403" spans="1:21" ht="15.75" customHeight="1" x14ac:dyDescent="0.3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</row>
    <row r="404" spans="1:21" ht="15.75" customHeight="1" x14ac:dyDescent="0.3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</row>
    <row r="405" spans="1:21" ht="15.75" customHeight="1" x14ac:dyDescent="0.3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</row>
    <row r="406" spans="1:21" ht="15.75" customHeight="1" x14ac:dyDescent="0.3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</row>
    <row r="407" spans="1:21" ht="15.75" customHeight="1" x14ac:dyDescent="0.3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</row>
    <row r="408" spans="1:21" ht="15.75" customHeight="1" x14ac:dyDescent="0.3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</row>
    <row r="409" spans="1:21" ht="15.75" customHeight="1" x14ac:dyDescent="0.3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</row>
    <row r="410" spans="1:21" ht="15.75" customHeight="1" x14ac:dyDescent="0.3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</row>
    <row r="411" spans="1:21" ht="15.75" customHeight="1" x14ac:dyDescent="0.3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</row>
    <row r="412" spans="1:21" ht="15.75" customHeight="1" x14ac:dyDescent="0.3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</row>
    <row r="413" spans="1:21" ht="15.75" customHeight="1" x14ac:dyDescent="0.3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</row>
    <row r="414" spans="1:21" ht="15.75" customHeight="1" x14ac:dyDescent="0.3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</row>
    <row r="415" spans="1:21" ht="15.75" customHeight="1" x14ac:dyDescent="0.3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</row>
    <row r="416" spans="1:21" ht="15.75" customHeight="1" x14ac:dyDescent="0.3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</row>
    <row r="417" spans="1:21" ht="15.75" customHeight="1" x14ac:dyDescent="0.3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</row>
    <row r="418" spans="1:21" ht="15.75" customHeight="1" x14ac:dyDescent="0.3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</row>
    <row r="419" spans="1:21" ht="15.75" customHeight="1" x14ac:dyDescent="0.3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</row>
    <row r="420" spans="1:21" ht="15.75" customHeight="1" x14ac:dyDescent="0.3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</row>
    <row r="421" spans="1:21" ht="15.75" customHeight="1" x14ac:dyDescent="0.3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</row>
    <row r="422" spans="1:21" ht="15.75" customHeight="1" x14ac:dyDescent="0.3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</row>
    <row r="423" spans="1:21" ht="15.75" customHeight="1" x14ac:dyDescent="0.3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</row>
    <row r="424" spans="1:21" ht="15.75" customHeight="1" x14ac:dyDescent="0.3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</row>
    <row r="425" spans="1:21" ht="15.75" customHeight="1" x14ac:dyDescent="0.3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</row>
    <row r="426" spans="1:21" ht="15.75" customHeight="1" x14ac:dyDescent="0.3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</row>
    <row r="427" spans="1:21" ht="15.75" customHeight="1" x14ac:dyDescent="0.3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</row>
    <row r="428" spans="1:21" ht="15.75" customHeight="1" x14ac:dyDescent="0.3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</row>
    <row r="429" spans="1:21" ht="15.75" customHeight="1" x14ac:dyDescent="0.3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</row>
    <row r="430" spans="1:21" ht="15.75" customHeight="1" x14ac:dyDescent="0.3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</row>
    <row r="431" spans="1:21" ht="15.75" customHeight="1" x14ac:dyDescent="0.3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</row>
    <row r="432" spans="1:21" ht="15.75" customHeight="1" x14ac:dyDescent="0.3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</row>
    <row r="433" spans="1:21" ht="15.75" customHeight="1" x14ac:dyDescent="0.3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</row>
    <row r="434" spans="1:21" ht="15.75" customHeight="1" x14ac:dyDescent="0.3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</row>
    <row r="435" spans="1:21" ht="15.75" customHeight="1" x14ac:dyDescent="0.3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</row>
    <row r="436" spans="1:21" ht="15.75" customHeight="1" x14ac:dyDescent="0.3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</row>
    <row r="437" spans="1:21" ht="15.75" customHeight="1" x14ac:dyDescent="0.3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</row>
    <row r="438" spans="1:21" ht="15.75" customHeight="1" x14ac:dyDescent="0.3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</row>
    <row r="439" spans="1:21" ht="15.75" customHeight="1" x14ac:dyDescent="0.3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</row>
    <row r="440" spans="1:21" ht="15.75" customHeight="1" x14ac:dyDescent="0.3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</row>
    <row r="441" spans="1:21" ht="15.75" customHeight="1" x14ac:dyDescent="0.3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</row>
    <row r="442" spans="1:21" ht="15.75" customHeight="1" x14ac:dyDescent="0.3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</row>
    <row r="443" spans="1:21" ht="15.75" customHeight="1" x14ac:dyDescent="0.3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</row>
    <row r="444" spans="1:21" ht="15.75" customHeight="1" x14ac:dyDescent="0.3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</row>
    <row r="445" spans="1:21" ht="15.75" customHeight="1" x14ac:dyDescent="0.3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</row>
    <row r="446" spans="1:21" ht="15.75" customHeight="1" x14ac:dyDescent="0.3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</row>
    <row r="447" spans="1:21" ht="15.75" customHeight="1" x14ac:dyDescent="0.3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</row>
    <row r="448" spans="1:21" ht="15.75" customHeight="1" x14ac:dyDescent="0.3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</row>
    <row r="449" spans="1:21" ht="15.75" customHeight="1" x14ac:dyDescent="0.3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</row>
    <row r="450" spans="1:21" ht="15.75" customHeight="1" x14ac:dyDescent="0.3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</row>
    <row r="451" spans="1:21" ht="15.75" customHeight="1" x14ac:dyDescent="0.3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</row>
    <row r="452" spans="1:21" ht="15.75" customHeight="1" x14ac:dyDescent="0.3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</row>
    <row r="453" spans="1:21" ht="15.75" customHeight="1" x14ac:dyDescent="0.3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</row>
    <row r="454" spans="1:21" ht="15.75" customHeight="1" x14ac:dyDescent="0.3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</row>
    <row r="455" spans="1:21" ht="15.75" customHeight="1" x14ac:dyDescent="0.3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</row>
    <row r="456" spans="1:21" ht="15.75" customHeight="1" x14ac:dyDescent="0.3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</row>
    <row r="457" spans="1:21" ht="15.75" customHeight="1" x14ac:dyDescent="0.3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</row>
    <row r="458" spans="1:21" ht="15.75" customHeight="1" x14ac:dyDescent="0.3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</row>
    <row r="459" spans="1:21" ht="15.75" customHeight="1" x14ac:dyDescent="0.3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</row>
    <row r="460" spans="1:21" ht="15.75" customHeight="1" x14ac:dyDescent="0.3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</row>
    <row r="461" spans="1:21" ht="15.75" customHeight="1" x14ac:dyDescent="0.3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</row>
    <row r="462" spans="1:21" ht="15.75" customHeight="1" x14ac:dyDescent="0.3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</row>
    <row r="463" spans="1:21" ht="15.75" customHeight="1" x14ac:dyDescent="0.3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</row>
    <row r="464" spans="1:21" ht="15.75" customHeight="1" x14ac:dyDescent="0.3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</row>
    <row r="465" spans="1:21" ht="15.75" customHeight="1" x14ac:dyDescent="0.3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</row>
    <row r="466" spans="1:21" ht="15.75" customHeight="1" x14ac:dyDescent="0.3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</row>
    <row r="467" spans="1:21" ht="15.75" customHeight="1" x14ac:dyDescent="0.3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</row>
    <row r="468" spans="1:21" ht="15.75" customHeight="1" x14ac:dyDescent="0.3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</row>
    <row r="469" spans="1:21" ht="15.75" customHeight="1" x14ac:dyDescent="0.3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</row>
    <row r="470" spans="1:21" ht="15.75" customHeight="1" x14ac:dyDescent="0.3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</row>
    <row r="471" spans="1:21" ht="15.75" customHeight="1" x14ac:dyDescent="0.3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</row>
    <row r="472" spans="1:21" ht="15.75" customHeight="1" x14ac:dyDescent="0.3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</row>
    <row r="473" spans="1:21" ht="15.75" customHeight="1" x14ac:dyDescent="0.3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</row>
    <row r="474" spans="1:21" ht="15.75" customHeight="1" x14ac:dyDescent="0.3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</row>
    <row r="475" spans="1:21" ht="15.75" customHeight="1" x14ac:dyDescent="0.3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</row>
    <row r="476" spans="1:21" ht="15.75" customHeight="1" x14ac:dyDescent="0.3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</row>
    <row r="477" spans="1:21" ht="15.75" customHeight="1" x14ac:dyDescent="0.3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</row>
    <row r="478" spans="1:21" ht="15.75" customHeight="1" x14ac:dyDescent="0.3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</row>
    <row r="479" spans="1:21" ht="15.75" customHeight="1" x14ac:dyDescent="0.3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</row>
    <row r="480" spans="1:21" ht="15.75" customHeight="1" x14ac:dyDescent="0.3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</row>
    <row r="481" spans="1:21" ht="15.75" customHeight="1" x14ac:dyDescent="0.3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</row>
    <row r="482" spans="1:21" ht="15.75" customHeight="1" x14ac:dyDescent="0.3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</row>
    <row r="483" spans="1:21" ht="15.75" customHeight="1" x14ac:dyDescent="0.3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</row>
    <row r="484" spans="1:21" ht="15.75" customHeight="1" x14ac:dyDescent="0.3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</row>
    <row r="485" spans="1:21" ht="15.75" customHeight="1" x14ac:dyDescent="0.3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</row>
    <row r="486" spans="1:21" ht="15.75" customHeight="1" x14ac:dyDescent="0.3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</row>
    <row r="487" spans="1:21" ht="15.75" customHeight="1" x14ac:dyDescent="0.3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</row>
    <row r="488" spans="1:21" ht="15.75" customHeight="1" x14ac:dyDescent="0.3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</row>
    <row r="489" spans="1:21" ht="15.75" customHeight="1" x14ac:dyDescent="0.3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</row>
    <row r="490" spans="1:21" ht="15.75" customHeight="1" x14ac:dyDescent="0.3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</row>
    <row r="491" spans="1:21" ht="15.75" customHeight="1" x14ac:dyDescent="0.3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</row>
    <row r="492" spans="1:21" ht="15.75" customHeight="1" x14ac:dyDescent="0.3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</row>
    <row r="493" spans="1:21" ht="15.75" customHeight="1" x14ac:dyDescent="0.3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</row>
    <row r="494" spans="1:21" ht="15.75" customHeight="1" x14ac:dyDescent="0.3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</row>
    <row r="495" spans="1:21" ht="15.75" customHeight="1" x14ac:dyDescent="0.3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</row>
    <row r="496" spans="1:21" ht="15.75" customHeight="1" x14ac:dyDescent="0.3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</row>
    <row r="497" spans="1:21" ht="15.75" customHeight="1" x14ac:dyDescent="0.3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</row>
    <row r="498" spans="1:21" ht="15.75" customHeight="1" x14ac:dyDescent="0.3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</row>
    <row r="499" spans="1:21" ht="15.75" customHeight="1" x14ac:dyDescent="0.3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</row>
    <row r="500" spans="1:21" ht="15.75" customHeight="1" x14ac:dyDescent="0.3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</row>
    <row r="501" spans="1:21" ht="15.75" customHeight="1" x14ac:dyDescent="0.3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</row>
    <row r="502" spans="1:21" ht="15.75" customHeight="1" x14ac:dyDescent="0.3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</row>
    <row r="503" spans="1:21" ht="15.75" customHeight="1" x14ac:dyDescent="0.3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</row>
    <row r="504" spans="1:21" ht="15.75" customHeight="1" x14ac:dyDescent="0.3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</row>
    <row r="505" spans="1:21" ht="15.75" customHeight="1" x14ac:dyDescent="0.3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</row>
    <row r="506" spans="1:21" ht="15.75" customHeight="1" x14ac:dyDescent="0.3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</row>
    <row r="507" spans="1:21" ht="15.75" customHeight="1" x14ac:dyDescent="0.3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</row>
    <row r="508" spans="1:21" ht="15.75" customHeight="1" x14ac:dyDescent="0.3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</row>
    <row r="509" spans="1:21" ht="15.75" customHeight="1" x14ac:dyDescent="0.3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</row>
    <row r="510" spans="1:21" ht="15.75" customHeight="1" x14ac:dyDescent="0.3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</row>
    <row r="511" spans="1:21" ht="15.75" customHeight="1" x14ac:dyDescent="0.3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</row>
    <row r="512" spans="1:21" ht="15.75" customHeight="1" x14ac:dyDescent="0.3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</row>
    <row r="513" spans="1:21" ht="15.75" customHeight="1" x14ac:dyDescent="0.3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</row>
    <row r="514" spans="1:21" ht="15.75" customHeight="1" x14ac:dyDescent="0.3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</row>
    <row r="515" spans="1:21" ht="15.75" customHeight="1" x14ac:dyDescent="0.3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</row>
    <row r="516" spans="1:21" ht="15.75" customHeight="1" x14ac:dyDescent="0.3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</row>
    <row r="517" spans="1:21" ht="15.75" customHeight="1" x14ac:dyDescent="0.3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</row>
    <row r="518" spans="1:21" ht="15.75" customHeight="1" x14ac:dyDescent="0.3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</row>
    <row r="519" spans="1:21" ht="15.75" customHeight="1" x14ac:dyDescent="0.3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</row>
    <row r="520" spans="1:21" ht="15.75" customHeight="1" x14ac:dyDescent="0.3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</row>
    <row r="521" spans="1:21" ht="15.75" customHeight="1" x14ac:dyDescent="0.3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</row>
    <row r="522" spans="1:21" ht="15.75" customHeight="1" x14ac:dyDescent="0.3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</row>
    <row r="523" spans="1:21" ht="15.75" customHeight="1" x14ac:dyDescent="0.3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</row>
    <row r="524" spans="1:21" ht="15.75" customHeight="1" x14ac:dyDescent="0.3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</row>
    <row r="525" spans="1:21" ht="15.75" customHeight="1" x14ac:dyDescent="0.3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</row>
    <row r="526" spans="1:21" ht="15.75" customHeight="1" x14ac:dyDescent="0.3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</row>
    <row r="527" spans="1:21" ht="15.75" customHeight="1" x14ac:dyDescent="0.3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</row>
    <row r="528" spans="1:21" ht="15.75" customHeight="1" x14ac:dyDescent="0.3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</row>
    <row r="529" spans="1:21" ht="15.75" customHeight="1" x14ac:dyDescent="0.3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</row>
    <row r="530" spans="1:21" ht="15.75" customHeight="1" x14ac:dyDescent="0.3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</row>
    <row r="531" spans="1:21" ht="15.75" customHeight="1" x14ac:dyDescent="0.3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</row>
    <row r="532" spans="1:21" ht="15.75" customHeight="1" x14ac:dyDescent="0.3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</row>
    <row r="533" spans="1:21" ht="15.75" customHeight="1" x14ac:dyDescent="0.3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</row>
    <row r="534" spans="1:21" ht="15.75" customHeight="1" x14ac:dyDescent="0.3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</row>
    <row r="535" spans="1:21" ht="15.75" customHeight="1" x14ac:dyDescent="0.3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</row>
    <row r="536" spans="1:21" ht="15.75" customHeight="1" x14ac:dyDescent="0.3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</row>
    <row r="537" spans="1:21" ht="15.75" customHeight="1" x14ac:dyDescent="0.3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</row>
    <row r="538" spans="1:21" ht="15.75" customHeight="1" x14ac:dyDescent="0.3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</row>
    <row r="539" spans="1:21" ht="15.75" customHeight="1" x14ac:dyDescent="0.3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</row>
    <row r="540" spans="1:21" ht="15.75" customHeight="1" x14ac:dyDescent="0.3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</row>
    <row r="541" spans="1:21" ht="15.75" customHeight="1" x14ac:dyDescent="0.3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</row>
    <row r="542" spans="1:21" ht="15.75" customHeight="1" x14ac:dyDescent="0.3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</row>
    <row r="543" spans="1:21" ht="15.75" customHeight="1" x14ac:dyDescent="0.3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</row>
    <row r="544" spans="1:21" ht="15.75" customHeight="1" x14ac:dyDescent="0.3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</row>
    <row r="545" spans="1:21" ht="15.75" customHeight="1" x14ac:dyDescent="0.3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</row>
    <row r="546" spans="1:21" ht="15.75" customHeight="1" x14ac:dyDescent="0.3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</row>
    <row r="547" spans="1:21" ht="15.75" customHeight="1" x14ac:dyDescent="0.3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</row>
    <row r="548" spans="1:21" ht="15.75" customHeight="1" x14ac:dyDescent="0.3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</row>
    <row r="549" spans="1:21" ht="15.75" customHeight="1" x14ac:dyDescent="0.3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</row>
    <row r="550" spans="1:21" ht="15.75" customHeight="1" x14ac:dyDescent="0.3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</row>
    <row r="551" spans="1:21" ht="15.75" customHeight="1" x14ac:dyDescent="0.3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</row>
    <row r="552" spans="1:21" ht="15.75" customHeight="1" x14ac:dyDescent="0.3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</row>
    <row r="553" spans="1:21" ht="15.75" customHeight="1" x14ac:dyDescent="0.3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</row>
    <row r="554" spans="1:21" ht="15.75" customHeight="1" x14ac:dyDescent="0.3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</row>
    <row r="555" spans="1:21" ht="15.75" customHeight="1" x14ac:dyDescent="0.3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</row>
    <row r="556" spans="1:21" ht="15.75" customHeight="1" x14ac:dyDescent="0.3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</row>
    <row r="557" spans="1:21" ht="15.75" customHeight="1" x14ac:dyDescent="0.3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</row>
    <row r="558" spans="1:21" ht="15.75" customHeight="1" x14ac:dyDescent="0.3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</row>
    <row r="559" spans="1:21" ht="15.75" customHeight="1" x14ac:dyDescent="0.3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</row>
    <row r="560" spans="1:21" ht="15.75" customHeight="1" x14ac:dyDescent="0.3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</row>
    <row r="561" spans="1:21" ht="15.75" customHeight="1" x14ac:dyDescent="0.3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</row>
    <row r="562" spans="1:21" ht="15.75" customHeight="1" x14ac:dyDescent="0.3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</row>
    <row r="563" spans="1:21" ht="15.75" customHeight="1" x14ac:dyDescent="0.3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</row>
    <row r="564" spans="1:21" ht="15.75" customHeight="1" x14ac:dyDescent="0.3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</row>
    <row r="565" spans="1:21" ht="15.75" customHeight="1" x14ac:dyDescent="0.3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</row>
    <row r="566" spans="1:21" ht="15.75" customHeight="1" x14ac:dyDescent="0.3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</row>
    <row r="567" spans="1:21" ht="15.75" customHeight="1" x14ac:dyDescent="0.3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</row>
    <row r="568" spans="1:21" ht="15.75" customHeight="1" x14ac:dyDescent="0.3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</row>
    <row r="569" spans="1:21" ht="15.75" customHeight="1" x14ac:dyDescent="0.3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</row>
    <row r="570" spans="1:21" ht="15.75" customHeight="1" x14ac:dyDescent="0.3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</row>
    <row r="571" spans="1:21" ht="15.75" customHeight="1" x14ac:dyDescent="0.3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</row>
    <row r="572" spans="1:21" ht="15.75" customHeight="1" x14ac:dyDescent="0.3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</row>
    <row r="573" spans="1:21" ht="15.75" customHeight="1" x14ac:dyDescent="0.3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</row>
    <row r="574" spans="1:21" ht="15.75" customHeight="1" x14ac:dyDescent="0.3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</row>
    <row r="575" spans="1:21" ht="15.75" customHeight="1" x14ac:dyDescent="0.3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</row>
    <row r="576" spans="1:21" ht="15.75" customHeight="1" x14ac:dyDescent="0.3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</row>
    <row r="577" spans="1:21" ht="15.75" customHeight="1" x14ac:dyDescent="0.3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</row>
    <row r="578" spans="1:21" ht="15.75" customHeight="1" x14ac:dyDescent="0.3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</row>
    <row r="579" spans="1:21" ht="15.75" customHeight="1" x14ac:dyDescent="0.3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</row>
    <row r="580" spans="1:21" ht="15.75" customHeight="1" x14ac:dyDescent="0.3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</row>
    <row r="581" spans="1:21" ht="15.75" customHeight="1" x14ac:dyDescent="0.3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</row>
    <row r="582" spans="1:21" ht="15.75" customHeight="1" x14ac:dyDescent="0.3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</row>
    <row r="583" spans="1:21" ht="15.75" customHeight="1" x14ac:dyDescent="0.3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</row>
    <row r="584" spans="1:21" ht="15.75" customHeight="1" x14ac:dyDescent="0.3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</row>
    <row r="585" spans="1:21" ht="15.75" customHeight="1" x14ac:dyDescent="0.3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</row>
    <row r="586" spans="1:21" ht="15.75" customHeight="1" x14ac:dyDescent="0.3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</row>
    <row r="587" spans="1:21" ht="15.75" customHeight="1" x14ac:dyDescent="0.3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</row>
    <row r="588" spans="1:21" ht="15.75" customHeight="1" x14ac:dyDescent="0.3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</row>
    <row r="589" spans="1:21" ht="15.75" customHeight="1" x14ac:dyDescent="0.3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</row>
    <row r="590" spans="1:21" ht="15.75" customHeight="1" x14ac:dyDescent="0.3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</row>
    <row r="591" spans="1:21" ht="15.75" customHeight="1" x14ac:dyDescent="0.3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</row>
    <row r="592" spans="1:21" ht="15.75" customHeight="1" x14ac:dyDescent="0.3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</row>
    <row r="593" spans="1:21" ht="15.75" customHeight="1" x14ac:dyDescent="0.3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</row>
    <row r="594" spans="1:21" ht="15.75" customHeight="1" x14ac:dyDescent="0.3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</row>
    <row r="595" spans="1:21" ht="15.75" customHeight="1" x14ac:dyDescent="0.3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</row>
    <row r="596" spans="1:21" ht="15.75" customHeight="1" x14ac:dyDescent="0.3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</row>
    <row r="597" spans="1:21" ht="15.75" customHeight="1" x14ac:dyDescent="0.3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</row>
    <row r="598" spans="1:21" ht="15.75" customHeight="1" x14ac:dyDescent="0.3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</row>
    <row r="599" spans="1:21" ht="15.75" customHeight="1" x14ac:dyDescent="0.3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</row>
    <row r="600" spans="1:21" ht="15.75" customHeight="1" x14ac:dyDescent="0.3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</row>
    <row r="601" spans="1:21" ht="15.75" customHeight="1" x14ac:dyDescent="0.3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</row>
    <row r="602" spans="1:21" ht="15.75" customHeight="1" x14ac:dyDescent="0.3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</row>
    <row r="603" spans="1:21" ht="15.75" customHeight="1" x14ac:dyDescent="0.3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</row>
    <row r="604" spans="1:21" ht="15.75" customHeight="1" x14ac:dyDescent="0.3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</row>
    <row r="605" spans="1:21" ht="15.75" customHeight="1" x14ac:dyDescent="0.3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</row>
    <row r="606" spans="1:21" ht="15.75" customHeight="1" x14ac:dyDescent="0.3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</row>
    <row r="607" spans="1:21" ht="15.75" customHeight="1" x14ac:dyDescent="0.3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</row>
    <row r="608" spans="1:21" ht="15.75" customHeight="1" x14ac:dyDescent="0.3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</row>
    <row r="609" spans="1:21" ht="15.75" customHeight="1" x14ac:dyDescent="0.3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</row>
    <row r="610" spans="1:21" ht="15.75" customHeight="1" x14ac:dyDescent="0.3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</row>
    <row r="611" spans="1:21" ht="15.75" customHeight="1" x14ac:dyDescent="0.3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</row>
    <row r="612" spans="1:21" ht="15.75" customHeight="1" x14ac:dyDescent="0.3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</row>
    <row r="613" spans="1:21" ht="15.75" customHeight="1" x14ac:dyDescent="0.3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</row>
    <row r="614" spans="1:21" ht="15.75" customHeight="1" x14ac:dyDescent="0.3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</row>
    <row r="615" spans="1:21" ht="15.75" customHeight="1" x14ac:dyDescent="0.3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</row>
    <row r="616" spans="1:21" ht="15.75" customHeight="1" x14ac:dyDescent="0.3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</row>
    <row r="617" spans="1:21" ht="15.75" customHeight="1" x14ac:dyDescent="0.3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</row>
    <row r="618" spans="1:21" ht="15.75" customHeight="1" x14ac:dyDescent="0.3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</row>
    <row r="619" spans="1:21" ht="15.75" customHeight="1" x14ac:dyDescent="0.3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</row>
    <row r="620" spans="1:21" ht="15.75" customHeight="1" x14ac:dyDescent="0.3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</row>
    <row r="621" spans="1:21" ht="15.75" customHeight="1" x14ac:dyDescent="0.3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</row>
    <row r="622" spans="1:21" ht="15.75" customHeight="1" x14ac:dyDescent="0.3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</row>
    <row r="623" spans="1:21" ht="15.75" customHeight="1" x14ac:dyDescent="0.3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</row>
    <row r="624" spans="1:21" ht="15.75" customHeight="1" x14ac:dyDescent="0.3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</row>
    <row r="625" spans="1:21" ht="15.75" customHeight="1" x14ac:dyDescent="0.3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</row>
    <row r="626" spans="1:21" ht="15.75" customHeight="1" x14ac:dyDescent="0.3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</row>
    <row r="627" spans="1:21" ht="15.75" customHeight="1" x14ac:dyDescent="0.3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</row>
    <row r="628" spans="1:21" ht="15.75" customHeight="1" x14ac:dyDescent="0.3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</row>
    <row r="629" spans="1:21" ht="15.75" customHeight="1" x14ac:dyDescent="0.3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</row>
    <row r="630" spans="1:21" ht="15.75" customHeight="1" x14ac:dyDescent="0.3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</row>
    <row r="631" spans="1:21" ht="15.75" customHeight="1" x14ac:dyDescent="0.3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</row>
    <row r="632" spans="1:21" ht="15.75" customHeight="1" x14ac:dyDescent="0.3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</row>
    <row r="633" spans="1:21" ht="15.75" customHeight="1" x14ac:dyDescent="0.3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</row>
    <row r="634" spans="1:21" ht="15.75" customHeight="1" x14ac:dyDescent="0.3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</row>
    <row r="635" spans="1:21" ht="15.75" customHeight="1" x14ac:dyDescent="0.3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</row>
    <row r="636" spans="1:21" ht="15.75" customHeight="1" x14ac:dyDescent="0.3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</row>
    <row r="637" spans="1:21" ht="15.75" customHeight="1" x14ac:dyDescent="0.3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</row>
    <row r="638" spans="1:21" ht="15.75" customHeight="1" x14ac:dyDescent="0.3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</row>
    <row r="639" spans="1:21" ht="15.75" customHeight="1" x14ac:dyDescent="0.3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</row>
    <row r="640" spans="1:21" ht="15.75" customHeight="1" x14ac:dyDescent="0.3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</row>
    <row r="641" spans="1:21" ht="15.75" customHeight="1" x14ac:dyDescent="0.3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</row>
    <row r="642" spans="1:21" ht="15.75" customHeight="1" x14ac:dyDescent="0.3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</row>
    <row r="643" spans="1:21" ht="15.75" customHeight="1" x14ac:dyDescent="0.3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</row>
    <row r="644" spans="1:21" ht="15.75" customHeight="1" x14ac:dyDescent="0.3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</row>
    <row r="645" spans="1:21" ht="15.75" customHeight="1" x14ac:dyDescent="0.3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</row>
    <row r="646" spans="1:21" ht="15.75" customHeight="1" x14ac:dyDescent="0.3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</row>
    <row r="647" spans="1:21" ht="15.75" customHeight="1" x14ac:dyDescent="0.3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</row>
    <row r="648" spans="1:21" ht="15.75" customHeight="1" x14ac:dyDescent="0.3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</row>
    <row r="649" spans="1:21" ht="15.75" customHeight="1" x14ac:dyDescent="0.3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</row>
    <row r="650" spans="1:21" ht="15.75" customHeight="1" x14ac:dyDescent="0.3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</row>
    <row r="651" spans="1:21" ht="15.75" customHeight="1" x14ac:dyDescent="0.3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</row>
    <row r="652" spans="1:21" ht="15.75" customHeight="1" x14ac:dyDescent="0.3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</row>
    <row r="653" spans="1:21" ht="15.75" customHeight="1" x14ac:dyDescent="0.3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</row>
    <row r="654" spans="1:21" ht="15.75" customHeight="1" x14ac:dyDescent="0.3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</row>
    <row r="655" spans="1:21" ht="15.75" customHeight="1" x14ac:dyDescent="0.3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</row>
    <row r="656" spans="1:21" ht="15.75" customHeight="1" x14ac:dyDescent="0.3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</row>
    <row r="657" spans="1:21" ht="15.75" customHeight="1" x14ac:dyDescent="0.3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</row>
    <row r="658" spans="1:21" ht="15.75" customHeight="1" x14ac:dyDescent="0.3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</row>
    <row r="659" spans="1:21" ht="15.75" customHeight="1" x14ac:dyDescent="0.3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</row>
    <row r="660" spans="1:21" ht="15.75" customHeight="1" x14ac:dyDescent="0.3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</row>
    <row r="661" spans="1:21" ht="15.75" customHeight="1" x14ac:dyDescent="0.3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</row>
    <row r="662" spans="1:21" ht="15.75" customHeight="1" x14ac:dyDescent="0.3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</row>
    <row r="663" spans="1:21" ht="15.75" customHeight="1" x14ac:dyDescent="0.3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</row>
    <row r="664" spans="1:21" ht="15.75" customHeight="1" x14ac:dyDescent="0.3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</row>
    <row r="665" spans="1:21" ht="15.75" customHeight="1" x14ac:dyDescent="0.3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</row>
    <row r="666" spans="1:21" ht="15.75" customHeight="1" x14ac:dyDescent="0.3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</row>
    <row r="667" spans="1:21" ht="15.75" customHeight="1" x14ac:dyDescent="0.3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</row>
    <row r="668" spans="1:21" ht="15.75" customHeight="1" x14ac:dyDescent="0.3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</row>
    <row r="669" spans="1:21" ht="15.75" customHeight="1" x14ac:dyDescent="0.3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</row>
    <row r="670" spans="1:21" ht="15.75" customHeight="1" x14ac:dyDescent="0.3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</row>
    <row r="671" spans="1:21" ht="15.75" customHeight="1" x14ac:dyDescent="0.3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</row>
    <row r="672" spans="1:21" ht="15.75" customHeight="1" x14ac:dyDescent="0.3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</row>
    <row r="673" spans="1:21" ht="15.75" customHeight="1" x14ac:dyDescent="0.3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</row>
    <row r="674" spans="1:21" ht="15.75" customHeight="1" x14ac:dyDescent="0.3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</row>
    <row r="675" spans="1:21" ht="15.75" customHeight="1" x14ac:dyDescent="0.3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</row>
    <row r="676" spans="1:21" ht="15.75" customHeight="1" x14ac:dyDescent="0.3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</row>
    <row r="677" spans="1:21" ht="15.75" customHeight="1" x14ac:dyDescent="0.3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</row>
    <row r="678" spans="1:21" ht="15.75" customHeight="1" x14ac:dyDescent="0.3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</row>
    <row r="679" spans="1:21" ht="15.75" customHeight="1" x14ac:dyDescent="0.3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</row>
    <row r="680" spans="1:21" ht="15.75" customHeight="1" x14ac:dyDescent="0.3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</row>
    <row r="681" spans="1:21" ht="15.75" customHeight="1" x14ac:dyDescent="0.3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</row>
    <row r="682" spans="1:21" ht="15.75" customHeight="1" x14ac:dyDescent="0.3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</row>
    <row r="683" spans="1:21" ht="15.75" customHeight="1" x14ac:dyDescent="0.3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</row>
    <row r="684" spans="1:21" ht="15.75" customHeight="1" x14ac:dyDescent="0.3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</row>
    <row r="685" spans="1:21" ht="15.75" customHeight="1" x14ac:dyDescent="0.3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</row>
    <row r="686" spans="1:21" ht="15.75" customHeight="1" x14ac:dyDescent="0.3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</row>
    <row r="687" spans="1:21" ht="15.75" customHeight="1" x14ac:dyDescent="0.3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</row>
    <row r="688" spans="1:21" ht="15.75" customHeight="1" x14ac:dyDescent="0.3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</row>
    <row r="689" spans="1:21" ht="15.75" customHeight="1" x14ac:dyDescent="0.3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</row>
    <row r="690" spans="1:21" ht="15.75" customHeight="1" x14ac:dyDescent="0.3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</row>
    <row r="691" spans="1:21" ht="15.75" customHeight="1" x14ac:dyDescent="0.3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</row>
    <row r="692" spans="1:21" ht="15.75" customHeight="1" x14ac:dyDescent="0.3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</row>
    <row r="693" spans="1:21" ht="15.75" customHeight="1" x14ac:dyDescent="0.3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</row>
    <row r="694" spans="1:21" ht="15.75" customHeight="1" x14ac:dyDescent="0.3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</row>
    <row r="695" spans="1:21" ht="15.75" customHeight="1" x14ac:dyDescent="0.3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</row>
    <row r="696" spans="1:21" ht="15.75" customHeight="1" x14ac:dyDescent="0.3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</row>
    <row r="697" spans="1:21" ht="15.75" customHeight="1" x14ac:dyDescent="0.3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</row>
    <row r="698" spans="1:21" ht="15.75" customHeight="1" x14ac:dyDescent="0.3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</row>
    <row r="699" spans="1:21" ht="15.75" customHeight="1" x14ac:dyDescent="0.3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</row>
    <row r="700" spans="1:21" ht="15.75" customHeight="1" x14ac:dyDescent="0.3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</row>
    <row r="701" spans="1:21" ht="15.75" customHeight="1" x14ac:dyDescent="0.3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</row>
    <row r="702" spans="1:21" ht="15.75" customHeight="1" x14ac:dyDescent="0.3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</row>
    <row r="703" spans="1:21" ht="15.75" customHeight="1" x14ac:dyDescent="0.3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</row>
    <row r="704" spans="1:21" ht="15.75" customHeight="1" x14ac:dyDescent="0.3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</row>
    <row r="705" spans="1:21" ht="15.75" customHeight="1" x14ac:dyDescent="0.3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</row>
    <row r="706" spans="1:21" ht="15.75" customHeight="1" x14ac:dyDescent="0.3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</row>
    <row r="707" spans="1:21" ht="15.75" customHeight="1" x14ac:dyDescent="0.3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</row>
    <row r="708" spans="1:21" ht="15.75" customHeight="1" x14ac:dyDescent="0.3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</row>
    <row r="709" spans="1:21" ht="15.75" customHeight="1" x14ac:dyDescent="0.3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</row>
    <row r="710" spans="1:21" ht="15.75" customHeight="1" x14ac:dyDescent="0.3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</row>
    <row r="711" spans="1:21" ht="15.75" customHeight="1" x14ac:dyDescent="0.3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</row>
    <row r="712" spans="1:21" ht="15.75" customHeight="1" x14ac:dyDescent="0.3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</row>
    <row r="713" spans="1:21" ht="15.75" customHeight="1" x14ac:dyDescent="0.3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</row>
    <row r="714" spans="1:21" ht="15.75" customHeight="1" x14ac:dyDescent="0.3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</row>
    <row r="715" spans="1:21" ht="15.75" customHeight="1" x14ac:dyDescent="0.3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</row>
    <row r="716" spans="1:21" ht="15.75" customHeight="1" x14ac:dyDescent="0.3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</row>
    <row r="717" spans="1:21" ht="15.75" customHeight="1" x14ac:dyDescent="0.3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</row>
    <row r="718" spans="1:21" ht="15.75" customHeight="1" x14ac:dyDescent="0.3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</row>
    <row r="719" spans="1:21" ht="15.75" customHeight="1" x14ac:dyDescent="0.3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</row>
    <row r="720" spans="1:21" ht="15.75" customHeight="1" x14ac:dyDescent="0.3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</row>
    <row r="721" spans="1:21" ht="15.75" customHeight="1" x14ac:dyDescent="0.3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</row>
    <row r="722" spans="1:21" ht="15.75" customHeight="1" x14ac:dyDescent="0.3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</row>
    <row r="723" spans="1:21" ht="15.75" customHeight="1" x14ac:dyDescent="0.3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</row>
    <row r="724" spans="1:21" ht="15.75" customHeight="1" x14ac:dyDescent="0.3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</row>
    <row r="725" spans="1:21" ht="15.75" customHeight="1" x14ac:dyDescent="0.3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</row>
    <row r="726" spans="1:21" ht="15.75" customHeight="1" x14ac:dyDescent="0.3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</row>
    <row r="727" spans="1:21" ht="15.75" customHeight="1" x14ac:dyDescent="0.3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</row>
    <row r="728" spans="1:21" ht="15.75" customHeight="1" x14ac:dyDescent="0.3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</row>
    <row r="729" spans="1:21" ht="15.75" customHeight="1" x14ac:dyDescent="0.3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</row>
    <row r="730" spans="1:21" ht="15.75" customHeight="1" x14ac:dyDescent="0.3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</row>
    <row r="731" spans="1:21" ht="15.75" customHeight="1" x14ac:dyDescent="0.3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</row>
    <row r="732" spans="1:21" ht="15.75" customHeight="1" x14ac:dyDescent="0.3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</row>
    <row r="733" spans="1:21" ht="15.75" customHeight="1" x14ac:dyDescent="0.3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</row>
    <row r="734" spans="1:21" ht="15.75" customHeight="1" x14ac:dyDescent="0.3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</row>
    <row r="735" spans="1:21" ht="15.75" customHeight="1" x14ac:dyDescent="0.3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</row>
    <row r="736" spans="1:21" ht="15.75" customHeight="1" x14ac:dyDescent="0.3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</row>
    <row r="737" spans="1:21" ht="15.75" customHeight="1" x14ac:dyDescent="0.3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</row>
    <row r="738" spans="1:21" ht="15.75" customHeight="1" x14ac:dyDescent="0.3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</row>
    <row r="739" spans="1:21" ht="15.75" customHeight="1" x14ac:dyDescent="0.3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</row>
    <row r="740" spans="1:21" ht="15.75" customHeight="1" x14ac:dyDescent="0.3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</row>
    <row r="741" spans="1:21" ht="15.75" customHeight="1" x14ac:dyDescent="0.3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</row>
    <row r="742" spans="1:21" ht="15.75" customHeight="1" x14ac:dyDescent="0.3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</row>
    <row r="743" spans="1:21" ht="15.75" customHeight="1" x14ac:dyDescent="0.3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</row>
    <row r="744" spans="1:21" ht="15.75" customHeight="1" x14ac:dyDescent="0.3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</row>
    <row r="745" spans="1:21" ht="15.75" customHeight="1" x14ac:dyDescent="0.3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</row>
    <row r="746" spans="1:21" ht="15.75" customHeight="1" x14ac:dyDescent="0.3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</row>
    <row r="747" spans="1:21" ht="15.75" customHeight="1" x14ac:dyDescent="0.3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</row>
    <row r="748" spans="1:21" ht="15.75" customHeight="1" x14ac:dyDescent="0.3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</row>
    <row r="749" spans="1:21" ht="15.75" customHeight="1" x14ac:dyDescent="0.3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</row>
    <row r="750" spans="1:21" ht="15.75" customHeight="1" x14ac:dyDescent="0.3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</row>
    <row r="751" spans="1:21" ht="15.75" customHeight="1" x14ac:dyDescent="0.3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</row>
    <row r="752" spans="1:21" ht="15.75" customHeight="1" x14ac:dyDescent="0.3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</row>
    <row r="753" spans="1:21" ht="15.75" customHeight="1" x14ac:dyDescent="0.3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</row>
    <row r="754" spans="1:21" ht="15.75" customHeight="1" x14ac:dyDescent="0.3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</row>
    <row r="755" spans="1:21" ht="15.75" customHeight="1" x14ac:dyDescent="0.3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</row>
    <row r="756" spans="1:21" ht="15.75" customHeight="1" x14ac:dyDescent="0.3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</row>
    <row r="757" spans="1:21" ht="15.75" customHeight="1" x14ac:dyDescent="0.3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</row>
    <row r="758" spans="1:21" ht="15.75" customHeight="1" x14ac:dyDescent="0.3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</row>
    <row r="759" spans="1:21" ht="15.75" customHeight="1" x14ac:dyDescent="0.3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</row>
    <row r="760" spans="1:21" ht="15.75" customHeight="1" x14ac:dyDescent="0.3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</row>
    <row r="761" spans="1:21" ht="15.75" customHeight="1" x14ac:dyDescent="0.3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</row>
    <row r="762" spans="1:21" ht="15.75" customHeight="1" x14ac:dyDescent="0.3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</row>
    <row r="763" spans="1:21" ht="15.75" customHeight="1" x14ac:dyDescent="0.3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</row>
    <row r="764" spans="1:21" ht="15.75" customHeight="1" x14ac:dyDescent="0.3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</row>
    <row r="765" spans="1:21" ht="15.75" customHeight="1" x14ac:dyDescent="0.3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</row>
    <row r="766" spans="1:21" ht="15.75" customHeight="1" x14ac:dyDescent="0.3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</row>
    <row r="767" spans="1:21" ht="15.75" customHeight="1" x14ac:dyDescent="0.3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</row>
    <row r="768" spans="1:21" ht="15.75" customHeight="1" x14ac:dyDescent="0.3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</row>
    <row r="769" spans="1:21" ht="15.75" customHeight="1" x14ac:dyDescent="0.3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</row>
    <row r="770" spans="1:21" ht="15.75" customHeight="1" x14ac:dyDescent="0.3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</row>
    <row r="771" spans="1:21" ht="15.75" customHeight="1" x14ac:dyDescent="0.3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</row>
    <row r="772" spans="1:21" ht="15.75" customHeight="1" x14ac:dyDescent="0.3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</row>
    <row r="773" spans="1:21" ht="15.75" customHeight="1" x14ac:dyDescent="0.3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</row>
    <row r="774" spans="1:21" ht="15.75" customHeight="1" x14ac:dyDescent="0.3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</row>
    <row r="775" spans="1:21" ht="15.75" customHeight="1" x14ac:dyDescent="0.3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</row>
    <row r="776" spans="1:21" ht="15.75" customHeight="1" x14ac:dyDescent="0.3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</row>
    <row r="777" spans="1:21" ht="15.75" customHeight="1" x14ac:dyDescent="0.3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</row>
    <row r="778" spans="1:21" ht="15.75" customHeight="1" x14ac:dyDescent="0.3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</row>
    <row r="779" spans="1:21" ht="15.75" customHeight="1" x14ac:dyDescent="0.3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</row>
    <row r="780" spans="1:21" ht="15.75" customHeight="1" x14ac:dyDescent="0.3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</row>
    <row r="781" spans="1:21" ht="15.75" customHeight="1" x14ac:dyDescent="0.3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</row>
    <row r="782" spans="1:21" ht="15.75" customHeight="1" x14ac:dyDescent="0.3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</row>
    <row r="783" spans="1:21" ht="15.75" customHeight="1" x14ac:dyDescent="0.3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</row>
    <row r="784" spans="1:21" ht="15.75" customHeight="1" x14ac:dyDescent="0.3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</row>
    <row r="785" spans="1:21" ht="15.75" customHeight="1" x14ac:dyDescent="0.3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</row>
    <row r="786" spans="1:21" ht="15.75" customHeight="1" x14ac:dyDescent="0.3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</row>
    <row r="787" spans="1:21" ht="15.75" customHeight="1" x14ac:dyDescent="0.3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</row>
    <row r="788" spans="1:21" ht="15.75" customHeight="1" x14ac:dyDescent="0.3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</row>
    <row r="789" spans="1:21" ht="15.75" customHeight="1" x14ac:dyDescent="0.3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</row>
    <row r="790" spans="1:21" ht="15.75" customHeight="1" x14ac:dyDescent="0.3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</row>
    <row r="791" spans="1:21" ht="15.75" customHeight="1" x14ac:dyDescent="0.3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</row>
    <row r="792" spans="1:21" ht="15.75" customHeight="1" x14ac:dyDescent="0.3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</row>
    <row r="793" spans="1:21" ht="15.75" customHeight="1" x14ac:dyDescent="0.3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</row>
    <row r="794" spans="1:21" ht="15.75" customHeight="1" x14ac:dyDescent="0.3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</row>
    <row r="795" spans="1:21" ht="15.75" customHeight="1" x14ac:dyDescent="0.3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</row>
    <row r="796" spans="1:21" ht="15.75" customHeight="1" x14ac:dyDescent="0.3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</row>
    <row r="797" spans="1:21" ht="15.75" customHeight="1" x14ac:dyDescent="0.3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</row>
    <row r="798" spans="1:21" ht="15.75" customHeight="1" x14ac:dyDescent="0.3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</row>
    <row r="799" spans="1:21" ht="15.75" customHeight="1" x14ac:dyDescent="0.3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</row>
    <row r="800" spans="1:21" ht="15.75" customHeight="1" x14ac:dyDescent="0.3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</row>
    <row r="801" spans="1:21" ht="15.75" customHeight="1" x14ac:dyDescent="0.3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</row>
    <row r="802" spans="1:21" ht="15.75" customHeight="1" x14ac:dyDescent="0.3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</row>
    <row r="803" spans="1:21" ht="15.75" customHeight="1" x14ac:dyDescent="0.3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</row>
    <row r="804" spans="1:21" ht="15.75" customHeight="1" x14ac:dyDescent="0.3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</row>
    <row r="805" spans="1:21" ht="15.75" customHeight="1" x14ac:dyDescent="0.3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</row>
    <row r="806" spans="1:21" ht="15.75" customHeight="1" x14ac:dyDescent="0.3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</row>
    <row r="807" spans="1:21" ht="15.75" customHeight="1" x14ac:dyDescent="0.3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</row>
    <row r="808" spans="1:21" ht="15.75" customHeight="1" x14ac:dyDescent="0.3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</row>
    <row r="809" spans="1:21" ht="15.75" customHeight="1" x14ac:dyDescent="0.3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</row>
    <row r="810" spans="1:21" ht="15.75" customHeight="1" x14ac:dyDescent="0.3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</row>
    <row r="811" spans="1:21" ht="15.75" customHeight="1" x14ac:dyDescent="0.3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</row>
    <row r="812" spans="1:21" ht="15.75" customHeight="1" x14ac:dyDescent="0.3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</row>
    <row r="813" spans="1:21" ht="15.75" customHeight="1" x14ac:dyDescent="0.3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</row>
    <row r="814" spans="1:21" ht="15.75" customHeight="1" x14ac:dyDescent="0.3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</row>
    <row r="815" spans="1:21" ht="15.75" customHeight="1" x14ac:dyDescent="0.3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</row>
    <row r="816" spans="1:21" ht="15.75" customHeight="1" x14ac:dyDescent="0.3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</row>
    <row r="817" spans="1:21" ht="15.75" customHeight="1" x14ac:dyDescent="0.3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</row>
    <row r="818" spans="1:21" ht="15.75" customHeight="1" x14ac:dyDescent="0.3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</row>
    <row r="819" spans="1:21" ht="15.75" customHeight="1" x14ac:dyDescent="0.3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</row>
    <row r="820" spans="1:21" ht="15.75" customHeight="1" x14ac:dyDescent="0.3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</row>
    <row r="821" spans="1:21" ht="15.75" customHeight="1" x14ac:dyDescent="0.3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</row>
    <row r="822" spans="1:21" ht="15.75" customHeight="1" x14ac:dyDescent="0.3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</row>
    <row r="823" spans="1:21" ht="15.75" customHeight="1" x14ac:dyDescent="0.3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</row>
    <row r="824" spans="1:21" ht="15.75" customHeight="1" x14ac:dyDescent="0.3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</row>
    <row r="825" spans="1:21" ht="15.75" customHeight="1" x14ac:dyDescent="0.3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</row>
    <row r="826" spans="1:21" ht="15.75" customHeight="1" x14ac:dyDescent="0.3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</row>
    <row r="827" spans="1:21" ht="15.75" customHeight="1" x14ac:dyDescent="0.3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</row>
    <row r="828" spans="1:21" ht="15.75" customHeight="1" x14ac:dyDescent="0.3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</row>
    <row r="829" spans="1:21" ht="15.75" customHeight="1" x14ac:dyDescent="0.3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</row>
    <row r="830" spans="1:21" ht="15.75" customHeight="1" x14ac:dyDescent="0.3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</row>
    <row r="831" spans="1:21" ht="15.75" customHeight="1" x14ac:dyDescent="0.3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</row>
    <row r="832" spans="1:21" ht="15.75" customHeight="1" x14ac:dyDescent="0.3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</row>
    <row r="833" spans="1:21" ht="15.75" customHeight="1" x14ac:dyDescent="0.3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</row>
    <row r="834" spans="1:21" ht="15.75" customHeight="1" x14ac:dyDescent="0.3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</row>
    <row r="835" spans="1:21" ht="15.75" customHeight="1" x14ac:dyDescent="0.3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</row>
    <row r="836" spans="1:21" ht="15.75" customHeight="1" x14ac:dyDescent="0.3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</row>
    <row r="837" spans="1:21" ht="15.75" customHeight="1" x14ac:dyDescent="0.3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</row>
    <row r="838" spans="1:21" ht="15.75" customHeight="1" x14ac:dyDescent="0.3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</row>
    <row r="839" spans="1:21" ht="15.75" customHeight="1" x14ac:dyDescent="0.3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</row>
    <row r="840" spans="1:21" ht="15.75" customHeight="1" x14ac:dyDescent="0.3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</row>
    <row r="841" spans="1:21" ht="15.75" customHeight="1" x14ac:dyDescent="0.3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</row>
    <row r="842" spans="1:21" ht="15.75" customHeight="1" x14ac:dyDescent="0.3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</row>
    <row r="843" spans="1:21" ht="15.75" customHeight="1" x14ac:dyDescent="0.3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</row>
    <row r="844" spans="1:21" ht="15.75" customHeight="1" x14ac:dyDescent="0.3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</row>
    <row r="845" spans="1:21" ht="15.75" customHeight="1" x14ac:dyDescent="0.3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</row>
    <row r="846" spans="1:21" ht="15.75" customHeight="1" x14ac:dyDescent="0.3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</row>
    <row r="847" spans="1:21" ht="15.75" customHeight="1" x14ac:dyDescent="0.3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</row>
    <row r="848" spans="1:21" ht="15.75" customHeight="1" x14ac:dyDescent="0.3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</row>
    <row r="849" spans="1:21" ht="15.75" customHeight="1" x14ac:dyDescent="0.3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</row>
    <row r="850" spans="1:21" ht="15.75" customHeight="1" x14ac:dyDescent="0.3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</row>
    <row r="851" spans="1:21" ht="15.75" customHeight="1" x14ac:dyDescent="0.3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</row>
    <row r="852" spans="1:21" ht="15.75" customHeight="1" x14ac:dyDescent="0.3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</row>
    <row r="853" spans="1:21" ht="15.75" customHeight="1" x14ac:dyDescent="0.3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</row>
    <row r="854" spans="1:21" ht="15.75" customHeight="1" x14ac:dyDescent="0.3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</row>
    <row r="855" spans="1:21" ht="15.75" customHeight="1" x14ac:dyDescent="0.3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</row>
    <row r="856" spans="1:21" ht="15.75" customHeight="1" x14ac:dyDescent="0.3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</row>
    <row r="857" spans="1:21" ht="15.75" customHeight="1" x14ac:dyDescent="0.3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</row>
    <row r="858" spans="1:21" ht="15.75" customHeight="1" x14ac:dyDescent="0.3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</row>
    <row r="859" spans="1:21" ht="15.75" customHeight="1" x14ac:dyDescent="0.3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</row>
    <row r="860" spans="1:21" ht="15.75" customHeight="1" x14ac:dyDescent="0.3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</row>
    <row r="861" spans="1:21" ht="15.75" customHeight="1" x14ac:dyDescent="0.3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</row>
    <row r="862" spans="1:21" ht="15.75" customHeight="1" x14ac:dyDescent="0.3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</row>
    <row r="863" spans="1:21" ht="15.75" customHeight="1" x14ac:dyDescent="0.3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</row>
    <row r="864" spans="1:21" ht="15.75" customHeight="1" x14ac:dyDescent="0.3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</row>
    <row r="865" spans="1:21" ht="15.75" customHeight="1" x14ac:dyDescent="0.3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</row>
    <row r="866" spans="1:21" ht="15.75" customHeight="1" x14ac:dyDescent="0.3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</row>
    <row r="867" spans="1:21" ht="15.75" customHeight="1" x14ac:dyDescent="0.3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</row>
    <row r="868" spans="1:21" ht="15.75" customHeight="1" x14ac:dyDescent="0.3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</row>
    <row r="869" spans="1:21" ht="15.75" customHeight="1" x14ac:dyDescent="0.3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</row>
    <row r="870" spans="1:21" ht="15.75" customHeight="1" x14ac:dyDescent="0.3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</row>
    <row r="871" spans="1:21" ht="15.75" customHeight="1" x14ac:dyDescent="0.3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</row>
    <row r="872" spans="1:21" ht="15.75" customHeight="1" x14ac:dyDescent="0.3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</row>
    <row r="873" spans="1:21" ht="15.75" customHeight="1" x14ac:dyDescent="0.3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</row>
    <row r="874" spans="1:21" ht="15.75" customHeight="1" x14ac:dyDescent="0.3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</row>
    <row r="875" spans="1:21" ht="15.75" customHeight="1" x14ac:dyDescent="0.3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</row>
    <row r="876" spans="1:21" ht="15.75" customHeight="1" x14ac:dyDescent="0.3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</row>
    <row r="877" spans="1:21" ht="15.75" customHeight="1" x14ac:dyDescent="0.3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</row>
    <row r="878" spans="1:21" ht="15.75" customHeight="1" x14ac:dyDescent="0.3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</row>
    <row r="879" spans="1:21" ht="15.75" customHeight="1" x14ac:dyDescent="0.3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</row>
    <row r="880" spans="1:21" ht="15.75" customHeight="1" x14ac:dyDescent="0.3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</row>
    <row r="881" spans="1:21" ht="15.75" customHeight="1" x14ac:dyDescent="0.3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</row>
    <row r="882" spans="1:21" ht="15.75" customHeight="1" x14ac:dyDescent="0.3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</row>
    <row r="883" spans="1:21" ht="15.75" customHeight="1" x14ac:dyDescent="0.3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</row>
    <row r="884" spans="1:21" ht="15.75" customHeight="1" x14ac:dyDescent="0.3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</row>
    <row r="885" spans="1:21" ht="15.75" customHeight="1" x14ac:dyDescent="0.3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</row>
    <row r="886" spans="1:21" ht="15.75" customHeight="1" x14ac:dyDescent="0.3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</row>
    <row r="887" spans="1:21" ht="15.75" customHeight="1" x14ac:dyDescent="0.3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</row>
    <row r="888" spans="1:21" ht="15.75" customHeight="1" x14ac:dyDescent="0.3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</row>
    <row r="889" spans="1:21" ht="15.75" customHeight="1" x14ac:dyDescent="0.3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</row>
    <row r="890" spans="1:21" ht="15.75" customHeight="1" x14ac:dyDescent="0.3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</row>
    <row r="891" spans="1:21" ht="15.75" customHeight="1" x14ac:dyDescent="0.3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</row>
    <row r="892" spans="1:21" ht="15.75" customHeight="1" x14ac:dyDescent="0.3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</row>
    <row r="893" spans="1:21" ht="15.75" customHeight="1" x14ac:dyDescent="0.3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</row>
    <row r="894" spans="1:21" ht="15.75" customHeight="1" x14ac:dyDescent="0.3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</row>
    <row r="895" spans="1:21" ht="15.75" customHeight="1" x14ac:dyDescent="0.3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</row>
    <row r="896" spans="1:21" ht="15.75" customHeight="1" x14ac:dyDescent="0.3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</row>
    <row r="897" spans="1:21" ht="15.75" customHeight="1" x14ac:dyDescent="0.3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</row>
    <row r="898" spans="1:21" ht="15.75" customHeight="1" x14ac:dyDescent="0.3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</row>
    <row r="899" spans="1:21" ht="15.75" customHeight="1" x14ac:dyDescent="0.3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</row>
    <row r="900" spans="1:21" ht="15.75" customHeight="1" x14ac:dyDescent="0.3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</row>
    <row r="901" spans="1:21" ht="15.75" customHeight="1" x14ac:dyDescent="0.3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</row>
    <row r="902" spans="1:21" ht="15.75" customHeight="1" x14ac:dyDescent="0.3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</row>
    <row r="903" spans="1:21" ht="15.75" customHeight="1" x14ac:dyDescent="0.3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</row>
    <row r="904" spans="1:21" ht="15.75" customHeight="1" x14ac:dyDescent="0.3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</row>
    <row r="905" spans="1:21" ht="15.75" customHeight="1" x14ac:dyDescent="0.3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</row>
    <row r="906" spans="1:21" ht="15.75" customHeight="1" x14ac:dyDescent="0.3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</row>
    <row r="907" spans="1:21" ht="15.75" customHeight="1" x14ac:dyDescent="0.3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</row>
    <row r="908" spans="1:21" ht="15.75" customHeight="1" x14ac:dyDescent="0.3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</row>
    <row r="909" spans="1:21" ht="15.75" customHeight="1" x14ac:dyDescent="0.3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</row>
    <row r="910" spans="1:21" ht="15.75" customHeight="1" x14ac:dyDescent="0.3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</row>
    <row r="911" spans="1:21" ht="15.75" customHeight="1" x14ac:dyDescent="0.3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</row>
    <row r="912" spans="1:21" ht="15.75" customHeight="1" x14ac:dyDescent="0.3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</row>
    <row r="913" spans="1:21" ht="15.75" customHeight="1" x14ac:dyDescent="0.3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</row>
    <row r="914" spans="1:21" ht="15.75" customHeight="1" x14ac:dyDescent="0.3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</row>
    <row r="915" spans="1:21" ht="15.75" customHeight="1" x14ac:dyDescent="0.3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</row>
    <row r="916" spans="1:21" ht="15.75" customHeight="1" x14ac:dyDescent="0.3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</row>
    <row r="917" spans="1:21" ht="15.75" customHeight="1" x14ac:dyDescent="0.3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</row>
    <row r="918" spans="1:21" ht="15.75" customHeight="1" x14ac:dyDescent="0.3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</row>
    <row r="919" spans="1:21" ht="15.75" customHeight="1" x14ac:dyDescent="0.3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</row>
    <row r="920" spans="1:21" ht="15.75" customHeight="1" x14ac:dyDescent="0.3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</row>
    <row r="921" spans="1:21" ht="15.75" customHeight="1" x14ac:dyDescent="0.3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</row>
    <row r="922" spans="1:21" ht="15.75" customHeight="1" x14ac:dyDescent="0.3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</row>
    <row r="923" spans="1:21" ht="15.75" customHeight="1" x14ac:dyDescent="0.3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</row>
    <row r="924" spans="1:21" ht="15.75" customHeight="1" x14ac:dyDescent="0.3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</row>
    <row r="925" spans="1:21" ht="15.75" customHeight="1" x14ac:dyDescent="0.3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</row>
    <row r="926" spans="1:21" ht="15.75" customHeight="1" x14ac:dyDescent="0.3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</row>
    <row r="927" spans="1:21" ht="15.75" customHeight="1" x14ac:dyDescent="0.3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</row>
    <row r="928" spans="1:21" ht="15.75" customHeight="1" x14ac:dyDescent="0.3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</row>
    <row r="929" spans="1:21" ht="15.75" customHeight="1" x14ac:dyDescent="0.3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</row>
    <row r="930" spans="1:21" ht="15.75" customHeight="1" x14ac:dyDescent="0.3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</row>
    <row r="931" spans="1:21" ht="15.75" customHeight="1" x14ac:dyDescent="0.3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</row>
    <row r="932" spans="1:21" ht="15.75" customHeight="1" x14ac:dyDescent="0.3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</row>
    <row r="933" spans="1:21" ht="15.75" customHeight="1" x14ac:dyDescent="0.3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</row>
    <row r="934" spans="1:21" ht="15.75" customHeight="1" x14ac:dyDescent="0.3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</row>
    <row r="935" spans="1:21" ht="15.75" customHeight="1" x14ac:dyDescent="0.3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</row>
    <row r="936" spans="1:21" ht="15.75" customHeight="1" x14ac:dyDescent="0.3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</row>
    <row r="937" spans="1:21" ht="15.75" customHeight="1" x14ac:dyDescent="0.3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</row>
    <row r="938" spans="1:21" ht="15.75" customHeight="1" x14ac:dyDescent="0.3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</row>
    <row r="939" spans="1:21" ht="15.75" customHeight="1" x14ac:dyDescent="0.3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</row>
    <row r="940" spans="1:21" ht="15.75" customHeight="1" x14ac:dyDescent="0.3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</row>
    <row r="941" spans="1:21" ht="15.75" customHeight="1" x14ac:dyDescent="0.3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</row>
    <row r="942" spans="1:21" ht="15.75" customHeight="1" x14ac:dyDescent="0.3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</row>
    <row r="943" spans="1:21" ht="15.75" customHeight="1" x14ac:dyDescent="0.3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</row>
    <row r="944" spans="1:21" ht="15.75" customHeight="1" x14ac:dyDescent="0.3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</row>
    <row r="945" spans="1:21" ht="15.75" customHeight="1" x14ac:dyDescent="0.3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</row>
    <row r="946" spans="1:21" ht="15.75" customHeight="1" x14ac:dyDescent="0.3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</row>
    <row r="947" spans="1:21" ht="15.75" customHeight="1" x14ac:dyDescent="0.3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</row>
    <row r="948" spans="1:21" ht="15.75" customHeight="1" x14ac:dyDescent="0.3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</row>
    <row r="949" spans="1:21" ht="15.75" customHeight="1" x14ac:dyDescent="0.3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</row>
    <row r="950" spans="1:21" ht="15.75" customHeight="1" x14ac:dyDescent="0.3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</row>
    <row r="951" spans="1:21" ht="15.75" customHeight="1" x14ac:dyDescent="0.3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</row>
    <row r="952" spans="1:21" ht="15.75" customHeight="1" x14ac:dyDescent="0.3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</row>
    <row r="953" spans="1:21" ht="15.75" customHeight="1" x14ac:dyDescent="0.3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</row>
    <row r="954" spans="1:21" ht="15.75" customHeight="1" x14ac:dyDescent="0.3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</row>
    <row r="955" spans="1:21" ht="15.75" customHeight="1" x14ac:dyDescent="0.3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</row>
    <row r="956" spans="1:21" ht="15.75" customHeight="1" x14ac:dyDescent="0.3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</row>
    <row r="957" spans="1:21" ht="15.75" customHeight="1" x14ac:dyDescent="0.3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</row>
    <row r="958" spans="1:21" ht="15.75" customHeight="1" x14ac:dyDescent="0.3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</row>
    <row r="959" spans="1:21" ht="15.75" customHeight="1" x14ac:dyDescent="0.3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</row>
    <row r="960" spans="1:21" ht="15.75" customHeight="1" x14ac:dyDescent="0.3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</row>
    <row r="961" spans="1:21" ht="15.75" customHeight="1" x14ac:dyDescent="0.3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</row>
    <row r="962" spans="1:21" ht="15.75" customHeight="1" x14ac:dyDescent="0.3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</row>
    <row r="963" spans="1:21" ht="15.75" customHeight="1" x14ac:dyDescent="0.3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</row>
    <row r="964" spans="1:21" ht="15.75" customHeight="1" x14ac:dyDescent="0.3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</row>
    <row r="965" spans="1:21" ht="15.75" customHeight="1" x14ac:dyDescent="0.3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</row>
    <row r="966" spans="1:21" ht="15.75" customHeight="1" x14ac:dyDescent="0.3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</row>
    <row r="967" spans="1:21" ht="15.75" customHeight="1" x14ac:dyDescent="0.3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</row>
    <row r="968" spans="1:21" ht="15.75" customHeight="1" x14ac:dyDescent="0.3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</row>
    <row r="969" spans="1:21" ht="15.75" customHeight="1" x14ac:dyDescent="0.3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</row>
    <row r="970" spans="1:21" ht="15.75" customHeight="1" x14ac:dyDescent="0.3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</row>
    <row r="971" spans="1:21" ht="15.75" customHeight="1" x14ac:dyDescent="0.3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</row>
    <row r="972" spans="1:21" ht="15.75" customHeight="1" x14ac:dyDescent="0.3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</row>
    <row r="973" spans="1:21" ht="15.75" customHeight="1" x14ac:dyDescent="0.3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</row>
    <row r="974" spans="1:21" ht="15.75" customHeight="1" x14ac:dyDescent="0.3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</row>
    <row r="975" spans="1:21" ht="15.75" customHeight="1" x14ac:dyDescent="0.3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</row>
    <row r="976" spans="1:21" ht="15.75" customHeight="1" x14ac:dyDescent="0.3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</row>
    <row r="977" spans="1:21" ht="15.75" customHeight="1" x14ac:dyDescent="0.3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</row>
    <row r="978" spans="1:21" ht="15.75" customHeight="1" x14ac:dyDescent="0.3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</row>
    <row r="979" spans="1:21" ht="15.75" customHeight="1" x14ac:dyDescent="0.3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</row>
    <row r="980" spans="1:21" ht="15.75" customHeight="1" x14ac:dyDescent="0.3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</row>
    <row r="981" spans="1:21" ht="15.75" customHeight="1" x14ac:dyDescent="0.3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</row>
    <row r="982" spans="1:21" ht="15.75" customHeight="1" x14ac:dyDescent="0.3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</row>
    <row r="983" spans="1:21" ht="15.75" customHeight="1" x14ac:dyDescent="0.3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</row>
    <row r="984" spans="1:21" ht="15.75" customHeight="1" x14ac:dyDescent="0.3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</row>
    <row r="985" spans="1:21" ht="15.75" customHeight="1" x14ac:dyDescent="0.3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</row>
    <row r="986" spans="1:21" ht="15.75" customHeight="1" x14ac:dyDescent="0.3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</row>
    <row r="987" spans="1:21" ht="15.75" customHeight="1" x14ac:dyDescent="0.3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</row>
    <row r="988" spans="1:21" ht="15.75" customHeight="1" x14ac:dyDescent="0.3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</row>
    <row r="989" spans="1:21" ht="15.75" customHeight="1" x14ac:dyDescent="0.3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</row>
    <row r="990" spans="1:21" ht="15.75" customHeight="1" x14ac:dyDescent="0.3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</row>
    <row r="991" spans="1:21" ht="15.75" customHeight="1" x14ac:dyDescent="0.3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</row>
    <row r="992" spans="1:21" ht="15.75" customHeight="1" x14ac:dyDescent="0.3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</row>
    <row r="993" spans="1:21" ht="15.75" customHeight="1" x14ac:dyDescent="0.3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</row>
    <row r="994" spans="1:21" ht="15.75" customHeight="1" x14ac:dyDescent="0.3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</row>
    <row r="995" spans="1:21" ht="15.75" customHeight="1" x14ac:dyDescent="0.3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</row>
    <row r="996" spans="1:21" ht="15.75" customHeight="1" x14ac:dyDescent="0.3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</row>
    <row r="997" spans="1:21" ht="15.75" customHeight="1" x14ac:dyDescent="0.3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</row>
    <row r="998" spans="1:21" ht="15.75" customHeight="1" x14ac:dyDescent="0.3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</row>
    <row r="999" spans="1:21" ht="15.75" customHeight="1" x14ac:dyDescent="0.3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</row>
    <row r="1000" spans="1:21" ht="15.75" customHeight="1" x14ac:dyDescent="0.3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</row>
  </sheetData>
  <mergeCells count="87">
    <mergeCell ref="AB10:AI10"/>
    <mergeCell ref="W11:Z11"/>
    <mergeCell ref="W12:Z12"/>
    <mergeCell ref="W1:AU1"/>
    <mergeCell ref="W2:AU2"/>
    <mergeCell ref="W3:AU3"/>
    <mergeCell ref="W5:Z5"/>
    <mergeCell ref="AB5:AI5"/>
    <mergeCell ref="W6:Z6"/>
    <mergeCell ref="AB11:AI11"/>
    <mergeCell ref="AB6:AI6"/>
    <mergeCell ref="W7:Z7"/>
    <mergeCell ref="AB7:AI7"/>
    <mergeCell ref="W8:Z8"/>
    <mergeCell ref="AB8:AI8"/>
    <mergeCell ref="AB12:AI12"/>
    <mergeCell ref="W18:Z18"/>
    <mergeCell ref="W19:Z19"/>
    <mergeCell ref="W20:Z20"/>
    <mergeCell ref="W21:Z21"/>
    <mergeCell ref="W22:Z22"/>
    <mergeCell ref="W63:Z63"/>
    <mergeCell ref="AB63:AU63"/>
    <mergeCell ref="W64:Z64"/>
    <mergeCell ref="AB64:AU64"/>
    <mergeCell ref="W65:Z65"/>
    <mergeCell ref="AB65:AU65"/>
    <mergeCell ref="W9:Z9"/>
    <mergeCell ref="W10:Z10"/>
    <mergeCell ref="W15:Z15"/>
    <mergeCell ref="W16:Z16"/>
    <mergeCell ref="W17:Z17"/>
    <mergeCell ref="AC15:AU17"/>
    <mergeCell ref="AB9:AI9"/>
    <mergeCell ref="AC19:AU22"/>
    <mergeCell ref="W24:AU24"/>
    <mergeCell ref="W25:AU25"/>
    <mergeCell ref="W26:AU26"/>
    <mergeCell ref="W53:AU53"/>
    <mergeCell ref="W54:Z54"/>
    <mergeCell ref="AB54:AU54"/>
    <mergeCell ref="W55:Z55"/>
    <mergeCell ref="AB55:AU55"/>
    <mergeCell ref="W56:Z56"/>
    <mergeCell ref="AB56:AU56"/>
    <mergeCell ref="W57:Z57"/>
    <mergeCell ref="AB57:AU57"/>
    <mergeCell ref="W58:Z58"/>
    <mergeCell ref="AB58:AU58"/>
    <mergeCell ref="W59:Z59"/>
    <mergeCell ref="AB59:AU59"/>
    <mergeCell ref="W60:Z60"/>
    <mergeCell ref="AB60:AU60"/>
    <mergeCell ref="W61:Z61"/>
    <mergeCell ref="AB61:AU61"/>
    <mergeCell ref="W62:Z62"/>
    <mergeCell ref="AB62:AU62"/>
    <mergeCell ref="A36:E36"/>
    <mergeCell ref="G51:H51"/>
    <mergeCell ref="G52:H52"/>
    <mergeCell ref="G53:H53"/>
    <mergeCell ref="G50:H50"/>
    <mergeCell ref="B55:E55"/>
    <mergeCell ref="B56:E56"/>
    <mergeCell ref="B57:E57"/>
    <mergeCell ref="G39:T39"/>
    <mergeCell ref="G40:T40"/>
    <mergeCell ref="B46:E46"/>
    <mergeCell ref="B44:E44"/>
    <mergeCell ref="B45:E45"/>
    <mergeCell ref="B47:E47"/>
    <mergeCell ref="B48:E48"/>
    <mergeCell ref="B49:E49"/>
    <mergeCell ref="B50:E50"/>
    <mergeCell ref="B51:E51"/>
    <mergeCell ref="B31:E31"/>
    <mergeCell ref="B35:E35"/>
    <mergeCell ref="B52:E52"/>
    <mergeCell ref="B53:E53"/>
    <mergeCell ref="B54:E54"/>
    <mergeCell ref="B37:E37"/>
    <mergeCell ref="B38:E38"/>
    <mergeCell ref="B39:E39"/>
    <mergeCell ref="B40:E40"/>
    <mergeCell ref="B41:E41"/>
    <mergeCell ref="B42:E42"/>
    <mergeCell ref="B43:E43"/>
  </mergeCells>
  <dataValidations disablePrompts="1" count="2">
    <dataValidation type="whole" sqref="AA57:AA60" xr:uid="{00000000-0002-0000-0400-000001000000}">
      <formula1>0</formula1>
      <formula2>365</formula2>
    </dataValidation>
    <dataValidation type="whole" sqref="AA8" xr:uid="{00000000-0002-0000-0400-000000000000}">
      <formula1>1</formula1>
      <formula2>40</formula2>
    </dataValidation>
  </dataValidation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Etanol de Cana de Açúcar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Xavier de Oliveira</dc:creator>
  <cp:lastModifiedBy>Ricardo Xavier de Oliveira</cp:lastModifiedBy>
  <dcterms:created xsi:type="dcterms:W3CDTF">2026-10-18T02:55:48Z</dcterms:created>
  <dcterms:modified xsi:type="dcterms:W3CDTF">2026-10-18T03:24:42Z</dcterms:modified>
</cp:coreProperties>
</file>